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65" windowHeight="12180" activeTab="0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</sheets>
  <definedNames>
    <definedName name="_xlnm.Print_Area" localSheetId="0">'прил.1'!$A$1:$BL$32</definedName>
    <definedName name="_xlnm.Print_Area" localSheetId="1">'прил.2'!$A$1:$X$31</definedName>
    <definedName name="_xlnm.Print_Area" localSheetId="2">'прил.3'!$A$1:$AA$32</definedName>
    <definedName name="_xlnm.Print_Area" localSheetId="3">'прил.4'!$A$1:$Y$37</definedName>
    <definedName name="_xlnm.Print_Area" localSheetId="4">'прил.5'!$A$1:$I$54</definedName>
  </definedNames>
  <calcPr fullCalcOnLoad="1"/>
</workbook>
</file>

<file path=xl/sharedStrings.xml><?xml version="1.0" encoding="utf-8"?>
<sst xmlns="http://schemas.openxmlformats.org/spreadsheetml/2006/main" count="377" uniqueCount="202">
  <si>
    <t>Перечни инвестиционных проектов</t>
  </si>
  <si>
    <t>Раздел 1. План финансирования капитальных вложений по инвестиционным проектам</t>
  </si>
  <si>
    <t>полное наименование субъекта электроэнергетики</t>
  </si>
  <si>
    <t>Номер группы инвести-ционных проектов</t>
  </si>
  <si>
    <t xml:space="preserve">  Наименование инвестиционного проекта (наименование группы инвестиционных проектов)</t>
  </si>
  <si>
    <t>Идентификатор инвестицион-ного проекта</t>
  </si>
  <si>
    <t>Год начала  реализации инвестиционного проекта</t>
  </si>
  <si>
    <t>Год окончания реализации инвестицион-ного проекта</t>
  </si>
  <si>
    <t>Полная сметная стоимость инвестиционного проекта в соответствии с утвержденной проектной документацией</t>
  </si>
  <si>
    <t xml:space="preserve">Оценка полной стоимости инвестиционного проекта в прогнозных ценах соответствующих лет, млн рублей (с НДС) </t>
  </si>
  <si>
    <t xml:space="preserve">Остаток финансирования капитальных вложений в прогнозных ценах соответствующих лет,  млн рублей 
(с НДС) </t>
  </si>
  <si>
    <t>План</t>
  </si>
  <si>
    <t>Итого
(план)</t>
  </si>
  <si>
    <t xml:space="preserve">План </t>
  </si>
  <si>
    <t>в базисном уровне цен, млн рублей 
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</si>
  <si>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</si>
  <si>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</si>
  <si>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</si>
  <si>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</si>
  <si>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</si>
  <si>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иных источников финансирования</t>
  </si>
  <si>
    <t>Приложение  № 1</t>
  </si>
  <si>
    <t>Плановые показатели реализации инвестиционной программы</t>
  </si>
  <si>
    <t>млн рублей</t>
  </si>
  <si>
    <t>№ п/п</t>
  </si>
  <si>
    <t>Показатель</t>
  </si>
  <si>
    <t xml:space="preserve">Итого </t>
  </si>
  <si>
    <t>Утвержденный план</t>
  </si>
  <si>
    <t>Источники финансирования инвестиционной программы всего (I+II), в том числе:</t>
  </si>
  <si>
    <t>I</t>
  </si>
  <si>
    <t>Собственные средства всего, в том числе:</t>
  </si>
  <si>
    <t>1.1</t>
  </si>
  <si>
    <t>Прибыль, направляемая на инвестиции, в том числе:</t>
  </si>
  <si>
    <t>1.1.1</t>
  </si>
  <si>
    <t>1.1.2</t>
  </si>
  <si>
    <t>1.1.3</t>
  </si>
  <si>
    <t>прочая прибыль</t>
  </si>
  <si>
    <t>1.2</t>
  </si>
  <si>
    <t>Амортизация основных средств всего, в том числе:</t>
  </si>
  <si>
    <t>1.2.1</t>
  </si>
  <si>
    <t>1.2.2</t>
  </si>
  <si>
    <t>1.2.3</t>
  </si>
  <si>
    <t>недоиспользованная амортизация прошлых лет всего, в том числе:</t>
  </si>
  <si>
    <t>1.3</t>
  </si>
  <si>
    <t>Возврат налога на добавленную стоимость</t>
  </si>
  <si>
    <t>1.4</t>
  </si>
  <si>
    <t xml:space="preserve">Прочие собственные средства всего, в том числе: </t>
  </si>
  <si>
    <t>1.4.1</t>
  </si>
  <si>
    <t>II</t>
  </si>
  <si>
    <t>Привлеченные средства, всего, в том числе:</t>
  </si>
  <si>
    <t>2.1</t>
  </si>
  <si>
    <t>Кредиты</t>
  </si>
  <si>
    <t>2.2</t>
  </si>
  <si>
    <t>Облигационные займы</t>
  </si>
  <si>
    <t>2.3</t>
  </si>
  <si>
    <t>Векселя</t>
  </si>
  <si>
    <t>2.4</t>
  </si>
  <si>
    <t>Займы организаций</t>
  </si>
  <si>
    <t>2.5</t>
  </si>
  <si>
    <t>2.5.1</t>
  </si>
  <si>
    <t>2.5.1.1</t>
  </si>
  <si>
    <t>2.5.2</t>
  </si>
  <si>
    <t>2.5.2.1</t>
  </si>
  <si>
    <t>2.6</t>
  </si>
  <si>
    <t>Использование лизинга</t>
  </si>
  <si>
    <t>2.7</t>
  </si>
  <si>
    <t>Прочие привлеченные средства</t>
  </si>
  <si>
    <t>2021 год</t>
  </si>
  <si>
    <t>Раздел 2. Ввод объектов инвестиционной деятельности (мощностей) в эксплуатацию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</si>
  <si>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</si>
  <si>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</si>
  <si>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Характеристики объекта электроэнергетики (объекта инвестиционной деятельности)</t>
  </si>
  <si>
    <t>Итого</t>
  </si>
  <si>
    <t>шт.</t>
  </si>
  <si>
    <t>Другое</t>
  </si>
  <si>
    <t>нематериальные активы</t>
  </si>
  <si>
    <t>млн рублей (без НДС)</t>
  </si>
  <si>
    <t>Раздел 2. План освоения капитальных вложений по инвестиционным проектам</t>
  </si>
  <si>
    <t>Год окончания реализации инвестиционного проекта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</si>
  <si>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 базисном уровне цен, млн рублей (без НДС)</t>
    </r>
  </si>
  <si>
    <t>Всего, в т.ч.:</t>
  </si>
  <si>
    <t>оборудование</t>
  </si>
  <si>
    <t>прочие затраты</t>
  </si>
  <si>
    <t>в базисном уровне цен</t>
  </si>
  <si>
    <t>в прогнозных ценах соответствующих лет</t>
  </si>
  <si>
    <t>Приложение  № 2</t>
  </si>
  <si>
    <t>Приложение  № 4</t>
  </si>
  <si>
    <t>Иные разделы, отражающие специфику деятельности общества всего, в т.ч.:</t>
  </si>
  <si>
    <r>
      <t>Раздел 3. Источники финансирования инвестиционной программы</t>
    </r>
    <r>
      <rPr>
        <b/>
        <vertAlign val="superscript"/>
        <sz val="12"/>
        <rFont val="Times New Roman"/>
        <family val="1"/>
      </rPr>
      <t>3)</t>
    </r>
  </si>
  <si>
    <t>наименование субъекта Российской Федерации</t>
  </si>
  <si>
    <t>полученная от реализации продукции и оказанных услуг по регулируемым ценам (тарифам)</t>
  </si>
  <si>
    <t>прибыль от продажи электрической энергии (мощности) по нерегулируемым ценам всего, в том числе</t>
  </si>
  <si>
    <t>текущая амортизация, учтенная в ценах (тарифах), всего, в том числе:</t>
  </si>
  <si>
    <t>1.2.1.1</t>
  </si>
  <si>
    <t>Реализация электрической энергии и мощности</t>
  </si>
  <si>
    <t>прочая текущая амортизация</t>
  </si>
  <si>
    <t>1.2.3.1</t>
  </si>
  <si>
    <t>средства от эмиссии акций</t>
  </si>
  <si>
    <t>1.4.2</t>
  </si>
  <si>
    <t>остаток собственных средств на начало года</t>
  </si>
  <si>
    <t>Бюджетное финансирование</t>
  </si>
  <si>
    <t>средства федерального бюджета</t>
  </si>
  <si>
    <t>в том числе средства федерального бюджета, недоиспользованные в прошлых периодах</t>
  </si>
  <si>
    <t>средства консолидированного бюджета субъекта Российской Федерации</t>
  </si>
  <si>
    <t>в том числе средства консолидированного бюджета субъекта Российской Федерации, недоиспользованные в прошлых периодах</t>
  </si>
  <si>
    <t xml:space="preserve">Приобретение имущества общего и специального назначения </t>
  </si>
  <si>
    <t xml:space="preserve">Приобретение ИТ-имущества </t>
  </si>
  <si>
    <t>1.1.</t>
  </si>
  <si>
    <t>2.1.</t>
  </si>
  <si>
    <t>2.2.</t>
  </si>
  <si>
    <t>2.3.</t>
  </si>
  <si>
    <t>3.1.</t>
  </si>
  <si>
    <t>Приложение  № 5</t>
  </si>
  <si>
    <r>
      <t>Утвержденный план</t>
    </r>
    <r>
      <rPr>
        <vertAlign val="superscript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
2022 года </t>
    </r>
  </si>
  <si>
    <t>2022 год</t>
  </si>
  <si>
    <t xml:space="preserve">Оборудование многоквартирных жилых домов интеллектуальной системой учета </t>
  </si>
  <si>
    <t>Освоение капитальных вложений в прогнозных  ценах соответствующих лет,млн.рублей (без НДС)</t>
  </si>
  <si>
    <t>Оценка полной стоимости в прогнозных ценах соответствующих лет, 
млн. рублей (без НДС)</t>
  </si>
  <si>
    <t>Остаток освоения капитальных вложений, 
млн. рублей (без НДС)</t>
  </si>
  <si>
    <t>Ввод объектов инвестиционной деятельности(мощностей)
 в эксплуатацию</t>
  </si>
  <si>
    <t>Приложение  № 3</t>
  </si>
  <si>
    <t>Утвержденный 
план</t>
  </si>
  <si>
    <t>основные 
средства</t>
  </si>
  <si>
    <t>основные
 средства</t>
  </si>
  <si>
    <t>Принятие основных средств и нематериальных активов к бухгалтерскому учету</t>
  </si>
  <si>
    <t>Первоначальная стоимость принимаемых к учету основных средств и нематериальных активов, млн. рублей (без НДС)</t>
  </si>
  <si>
    <t>Иные проекты</t>
  </si>
  <si>
    <t>Оснащение интеллектуальной системой учета</t>
  </si>
  <si>
    <t>2.</t>
  </si>
  <si>
    <t>1.</t>
  </si>
  <si>
    <t>2.4.</t>
  </si>
  <si>
    <t>2.5.</t>
  </si>
  <si>
    <t>2.6.</t>
  </si>
  <si>
    <t>2.7.</t>
  </si>
  <si>
    <t>4.</t>
  </si>
  <si>
    <t>4.1.</t>
  </si>
  <si>
    <t>3.</t>
  </si>
  <si>
    <t>Приобретение оргтехники</t>
  </si>
  <si>
    <t>амортизация</t>
  </si>
  <si>
    <t>прибыль на капитальные вложения</t>
  </si>
  <si>
    <t>средств, полученных от оказания услуг, реализации товаров по регулируемым государством ценам (тарифам), в т.ч.</t>
  </si>
  <si>
    <t>ИТОГО</t>
  </si>
  <si>
    <t>возврат налога на добавленную стоимость</t>
  </si>
  <si>
    <t>реализация электрической энергии и мощности</t>
  </si>
  <si>
    <t>Итого:</t>
  </si>
  <si>
    <t>Раздел 3 План принятия основных средств и нематериальных активов к бухгалтерскому учету</t>
  </si>
  <si>
    <r>
      <t>Утвержденный план</t>
    </r>
    <r>
      <rPr>
        <vertAlign val="superscript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
2021 года</t>
    </r>
  </si>
  <si>
    <r>
      <t>Утвержденный план</t>
    </r>
    <r>
      <rPr>
        <vertAlign val="superscript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
2023 года </t>
    </r>
  </si>
  <si>
    <t>2023 год</t>
  </si>
  <si>
    <t>1 квартал 
2021 года</t>
  </si>
  <si>
    <t>2 квартал 
2021 года</t>
  </si>
  <si>
    <t>3 квартал 
2021 года</t>
  </si>
  <si>
    <t>4 квартал 
2021 года</t>
  </si>
  <si>
    <t>1 квартал 2021 года</t>
  </si>
  <si>
    <t>2 квартал 2021 года</t>
  </si>
  <si>
    <t>3 квартал 2021 года</t>
  </si>
  <si>
    <t>4 квартал 2021 года</t>
  </si>
  <si>
    <t>1.2.</t>
  </si>
  <si>
    <t>1.3.</t>
  </si>
  <si>
    <t>1.4.</t>
  </si>
  <si>
    <t xml:space="preserve">Охранно-пожарная сигнализация в участке </t>
  </si>
  <si>
    <t>_______                               КУРСКАЯ ОБЛАСТЬ________________________</t>
  </si>
  <si>
    <t>ИБП APC SRC2KI Smart-UPS RC 2000VA 1600W</t>
  </si>
  <si>
    <t>Ленточная библиотека HPE STOREEVER MSL2024 LTO-7 15000 SAS (P9G69A</t>
  </si>
  <si>
    <t>Система хранения данных (СХД) Lenovo Storage V3700 V2 SFF Control Enclosure (6535C2D)</t>
  </si>
  <si>
    <t>Коммутатор Cisco</t>
  </si>
  <si>
    <t xml:space="preserve">Установка шлагбаумов: г.Курск, ул. Энгельса, д.134 </t>
  </si>
  <si>
    <t>Модернизация системы контроля и управления доступом: г. Курск, ул. Энгельса, д. 134</t>
  </si>
  <si>
    <t>Система видеонаблюдения: г. Курск, ул. Энгельса, д. 134</t>
  </si>
  <si>
    <t>Система хранения данных (СХД) HPE MSA 1050 8Gb Fibre Channel Dual Controller SFF Storage (Q2R19A)</t>
  </si>
  <si>
    <t>K_L01</t>
  </si>
  <si>
    <t>K_L02</t>
  </si>
  <si>
    <t>K_L03</t>
  </si>
  <si>
    <t>K_L04</t>
  </si>
  <si>
    <t>K_L05</t>
  </si>
  <si>
    <t>K_L07</t>
  </si>
  <si>
    <t>K_L06</t>
  </si>
  <si>
    <t>K_L15</t>
  </si>
  <si>
    <t>K_01</t>
  </si>
  <si>
    <t>K_02</t>
  </si>
  <si>
    <t>K_03</t>
  </si>
  <si>
    <t>Модернизация ЕКЦ (Робот-оператор)</t>
  </si>
  <si>
    <t>L_КАЭС.03</t>
  </si>
  <si>
    <t>L_КАЭС.01</t>
  </si>
  <si>
    <t>L_КАЭС.02</t>
  </si>
  <si>
    <t>1.5.</t>
  </si>
  <si>
    <t>Реализация мероприятий по соответствию бренд-буку</t>
  </si>
  <si>
    <t>Моноблок 23.8" HP 24-df1008ur (2Y0P0EA)</t>
  </si>
  <si>
    <t xml:space="preserve">План 
на 01.01.2022 года </t>
  </si>
  <si>
    <t>Утв. план</t>
  </si>
  <si>
    <t>Предложение по корректировке утвержденного плана</t>
  </si>
  <si>
    <t>Предложение по корректировке 
утвержденного плана</t>
  </si>
  <si>
    <t>Финанасирование капитальных вложений в прогнозных ценах соответствующих лет, млн. рублей (с НДС)</t>
  </si>
  <si>
    <t xml:space="preserve">Предложение по корректировке утвержденного плана  
2022 года  </t>
  </si>
  <si>
    <t>Итого
(Утвержденный план с учетом предложения по корректировке)</t>
  </si>
  <si>
    <t>Утвержденный план 
на 01.01.2021 года</t>
  </si>
  <si>
    <t>Предложение по корректировке утвержденного плана 
на 01.01.2021 года</t>
  </si>
  <si>
    <t>Итого
(Предложение по корректировке утвержденного плана)</t>
  </si>
  <si>
    <t>Предложение по корректировке 
утвержденного плана на 01.01.2022 г.</t>
  </si>
  <si>
    <r>
      <rPr>
        <u val="single"/>
        <sz val="14"/>
        <rFont val="Times New Roman"/>
        <family val="1"/>
      </rPr>
      <t xml:space="preserve">  "АтомЭнергоСбыт"</t>
    </r>
    <r>
      <rPr>
        <sz val="14"/>
        <rFont val="Times New Roman"/>
        <family val="1"/>
      </rPr>
      <t xml:space="preserve"> Курск</t>
    </r>
  </si>
  <si>
    <t>Предложение по корректировке</t>
  </si>
  <si>
    <t xml:space="preserve"> "АтомЭнергоСбыт" Курск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</si>
</sst>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_р_._-;\-* #,##0_р_._-;_-* &quot;-&quot;??_р_._-;_-@_-"/>
    <numFmt numFmtId="185" formatCode="#,##0.000"/>
    <numFmt numFmtId="186" formatCode="0.000"/>
    <numFmt numFmtId="187" formatCode="#,##0.0000"/>
    <numFmt numFmtId="188" formatCode="[$-FC19]d\ mmmm\ yyyy\ &quot;г.&quot;"/>
    <numFmt numFmtId="189" formatCode="mmm/yyyy"/>
    <numFmt numFmtId="190" formatCode="0.0"/>
    <numFmt numFmtId="191" formatCode="0.0000"/>
    <numFmt numFmtId="192" formatCode="0.00000"/>
    <numFmt numFmtId="193" formatCode="0.000000"/>
    <numFmt numFmtId="194" formatCode="0.0000000"/>
    <numFmt numFmtId="195" formatCode="0.00000000"/>
    <numFmt numFmtId="196" formatCode="#,##0.0"/>
    <numFmt numFmtId="197" formatCode="#,##0.00000"/>
    <numFmt numFmtId="198" formatCode="_-* #,##0.0\ _₽_-;\-* #,##0.0\ _₽_-;_-* &quot;-&quot;?\ _₽_-;_-@_-"/>
    <numFmt numFmtId="199" formatCode="_-* #,##0.00\ _₽_-;\-* #,##0.00\ _₽_-;_-* &quot;-&quot;?\ _₽_-;_-@_-"/>
    <numFmt numFmtId="200" formatCode="_-* #,##0.000\ _₽_-;\-* #,##0.000\ _₽_-;_-* &quot;-&quot;?\ _₽_-;_-@_-"/>
    <numFmt numFmtId="201" formatCode="_-* #,##0.0000\ _₽_-;\-* #,##0.0000\ _₽_-;_-* &quot;-&quot;?\ _₽_-;_-@_-"/>
    <numFmt numFmtId="202" formatCode="_-* #,##0.00000\ _₽_-;\-* #,##0.00000\ _₽_-;_-* &quot;-&quot;?\ _₽_-;_-@_-"/>
    <numFmt numFmtId="203" formatCode="_-* #,##0.000000\ _₽_-;\-* #,##0.000000\ _₽_-;_-* &quot;-&quot;?\ _₽_-;_-@_-"/>
    <numFmt numFmtId="204" formatCode="_-* #,##0.0000000\ _₽_-;\-* #,##0.0000000\ _₽_-;_-* &quot;-&quot;?\ _₽_-;_-@_-"/>
    <numFmt numFmtId="205" formatCode="_-* #,##0.00000000\ _₽_-;\-* #,##0.00000000\ _₽_-;_-* &quot;-&quot;?\ _₽_-;_-@_-"/>
    <numFmt numFmtId="206" formatCode="_-* #,##0.000000000\ _₽_-;\-* #,##0.000000000\ _₽_-;_-* &quot;-&quot;?\ _₽_-;_-@_-"/>
    <numFmt numFmtId="207" formatCode="_-* #,##0.0000000000\ _₽_-;\-* #,##0.0000000000\ _₽_-;_-* &quot;-&quot;?\ _₽_-;_-@_-"/>
    <numFmt numFmtId="208" formatCode="_-* #,##0.00000000000\ _₽_-;\-* #,##0.00000000000\ _₽_-;_-* &quot;-&quot;?\ _₽_-;_-@_-"/>
    <numFmt numFmtId="209" formatCode="_-* #,##0.000000000000\ _₽_-;\-* #,##0.000000000000\ _₽_-;_-* &quot;-&quot;?\ _₽_-;_-@_-"/>
    <numFmt numFmtId="210" formatCode="_-* #,##0.0000000000000\ _₽_-;\-* #,##0.0000000000000\ _₽_-;_-* &quot;-&quot;?\ _₽_-;_-@_-"/>
    <numFmt numFmtId="211" formatCode="0.000000000"/>
    <numFmt numFmtId="212" formatCode="_-* #,##0.0\ _₽_-;\-* #,##0.0\ _₽_-;_-* &quot;-&quot;??\ _₽_-;_-@_-"/>
    <numFmt numFmtId="213" formatCode="_-* #,##0\ _₽_-;\-* #,##0\ _₽_-;_-* &quot;-&quot;??\ _₽_-;_-@_-"/>
    <numFmt numFmtId="214" formatCode="_-* #,##0.000\ _₽_-;\-* #,##0.000\ _₽_-;_-* &quot;-&quot;??\ _₽_-;_-@_-"/>
    <numFmt numFmtId="215" formatCode="0.0000000000"/>
    <numFmt numFmtId="216" formatCode="0.00000000000"/>
    <numFmt numFmtId="217" formatCode="0.000000000000"/>
    <numFmt numFmtId="218" formatCode="0.0000000000000"/>
    <numFmt numFmtId="219" formatCode="0.00000000000000"/>
    <numFmt numFmtId="220" formatCode="0.000000000000000"/>
    <numFmt numFmtId="221" formatCode="#,##0_ ;\-#,##0\ "/>
    <numFmt numFmtId="222" formatCode="_-* #,##0.000\ _₽_-;\-* #,##0.000\ _₽_-;_-* &quot;-&quot;???\ _₽_-;_-@_-"/>
  </numFmts>
  <fonts count="7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 CYR"/>
      <family val="0"/>
    </font>
    <font>
      <sz val="12"/>
      <name val="Times New Roman CYR"/>
      <family val="0"/>
    </font>
    <font>
      <sz val="10"/>
      <name val="Times New Roman Cyr"/>
      <family val="0"/>
    </font>
    <font>
      <b/>
      <vertAlign val="superscript"/>
      <sz val="12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3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1"/>
      <color indexed="8"/>
      <name val="SimSun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name val="Calibri"/>
      <family val="2"/>
    </font>
    <font>
      <sz val="14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11"/>
      <color rgb="FFFF0000"/>
      <name val="Times New Roman"/>
      <family val="1"/>
    </font>
    <font>
      <sz val="12"/>
      <color theme="0"/>
      <name val="Times New Roman"/>
      <family val="1"/>
    </font>
    <font>
      <sz val="9"/>
      <color theme="1"/>
      <name val="Times New Roman"/>
      <family val="1"/>
    </font>
    <font>
      <sz val="12"/>
      <color rgb="FF00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20" fillId="3" borderId="0" applyNumberFormat="0" applyBorder="0" applyAlignment="0" applyProtection="0"/>
    <xf numFmtId="0" fontId="49" fillId="4" borderId="0" applyNumberFormat="0" applyBorder="0" applyAlignment="0" applyProtection="0"/>
    <xf numFmtId="0" fontId="20" fillId="5" borderId="0" applyNumberFormat="0" applyBorder="0" applyAlignment="0" applyProtection="0"/>
    <xf numFmtId="0" fontId="49" fillId="6" borderId="0" applyNumberFormat="0" applyBorder="0" applyAlignment="0" applyProtection="0"/>
    <xf numFmtId="0" fontId="20" fillId="7" borderId="0" applyNumberFormat="0" applyBorder="0" applyAlignment="0" applyProtection="0"/>
    <xf numFmtId="0" fontId="49" fillId="8" borderId="0" applyNumberFormat="0" applyBorder="0" applyAlignment="0" applyProtection="0"/>
    <xf numFmtId="0" fontId="20" fillId="9" borderId="0" applyNumberFormat="0" applyBorder="0" applyAlignment="0" applyProtection="0"/>
    <xf numFmtId="0" fontId="49" fillId="10" borderId="0" applyNumberFormat="0" applyBorder="0" applyAlignment="0" applyProtection="0"/>
    <xf numFmtId="0" fontId="20" fillId="11" borderId="0" applyNumberFormat="0" applyBorder="0" applyAlignment="0" applyProtection="0"/>
    <xf numFmtId="0" fontId="49" fillId="12" borderId="0" applyNumberFormat="0" applyBorder="0" applyAlignment="0" applyProtection="0"/>
    <xf numFmtId="0" fontId="20" fillId="13" borderId="0" applyNumberFormat="0" applyBorder="0" applyAlignment="0" applyProtection="0"/>
    <xf numFmtId="0" fontId="49" fillId="14" borderId="0" applyNumberFormat="0" applyBorder="0" applyAlignment="0" applyProtection="0"/>
    <xf numFmtId="0" fontId="20" fillId="15" borderId="0" applyNumberFormat="0" applyBorder="0" applyAlignment="0" applyProtection="0"/>
    <xf numFmtId="0" fontId="49" fillId="16" borderId="0" applyNumberFormat="0" applyBorder="0" applyAlignment="0" applyProtection="0"/>
    <xf numFmtId="0" fontId="20" fillId="17" borderId="0" applyNumberFormat="0" applyBorder="0" applyAlignment="0" applyProtection="0"/>
    <xf numFmtId="0" fontId="49" fillId="18" borderId="0" applyNumberFormat="0" applyBorder="0" applyAlignment="0" applyProtection="0"/>
    <xf numFmtId="0" fontId="20" fillId="19" borderId="0" applyNumberFormat="0" applyBorder="0" applyAlignment="0" applyProtection="0"/>
    <xf numFmtId="0" fontId="49" fillId="20" borderId="0" applyNumberFormat="0" applyBorder="0" applyAlignment="0" applyProtection="0"/>
    <xf numFmtId="0" fontId="20" fillId="9" borderId="0" applyNumberFormat="0" applyBorder="0" applyAlignment="0" applyProtection="0"/>
    <xf numFmtId="0" fontId="49" fillId="21" borderId="0" applyNumberFormat="0" applyBorder="0" applyAlignment="0" applyProtection="0"/>
    <xf numFmtId="0" fontId="20" fillId="15" borderId="0" applyNumberFormat="0" applyBorder="0" applyAlignment="0" applyProtection="0"/>
    <xf numFmtId="0" fontId="49" fillId="22" borderId="0" applyNumberFormat="0" applyBorder="0" applyAlignment="0" applyProtection="0"/>
    <xf numFmtId="0" fontId="20" fillId="23" borderId="0" applyNumberFormat="0" applyBorder="0" applyAlignment="0" applyProtection="0"/>
    <xf numFmtId="0" fontId="50" fillId="24" borderId="0" applyNumberFormat="0" applyBorder="0" applyAlignment="0" applyProtection="0"/>
    <xf numFmtId="0" fontId="21" fillId="25" borderId="0" applyNumberFormat="0" applyBorder="0" applyAlignment="0" applyProtection="0"/>
    <xf numFmtId="0" fontId="50" fillId="26" borderId="0" applyNumberFormat="0" applyBorder="0" applyAlignment="0" applyProtection="0"/>
    <xf numFmtId="0" fontId="21" fillId="17" borderId="0" applyNumberFormat="0" applyBorder="0" applyAlignment="0" applyProtection="0"/>
    <xf numFmtId="0" fontId="50" fillId="27" borderId="0" applyNumberFormat="0" applyBorder="0" applyAlignment="0" applyProtection="0"/>
    <xf numFmtId="0" fontId="21" fillId="19" borderId="0" applyNumberFormat="0" applyBorder="0" applyAlignment="0" applyProtection="0"/>
    <xf numFmtId="0" fontId="50" fillId="28" borderId="0" applyNumberFormat="0" applyBorder="0" applyAlignment="0" applyProtection="0"/>
    <xf numFmtId="0" fontId="21" fillId="29" borderId="0" applyNumberFormat="0" applyBorder="0" applyAlignment="0" applyProtection="0"/>
    <xf numFmtId="0" fontId="50" fillId="30" borderId="0" applyNumberFormat="0" applyBorder="0" applyAlignment="0" applyProtection="0"/>
    <xf numFmtId="0" fontId="21" fillId="31" borderId="0" applyNumberFormat="0" applyBorder="0" applyAlignment="0" applyProtection="0"/>
    <xf numFmtId="0" fontId="50" fillId="32" borderId="0" applyNumberFormat="0" applyBorder="0" applyAlignment="0" applyProtection="0"/>
    <xf numFmtId="0" fontId="21" fillId="33" borderId="0" applyNumberFormat="0" applyBorder="0" applyAlignment="0" applyProtection="0"/>
    <xf numFmtId="0" fontId="37" fillId="0" borderId="0">
      <alignment/>
      <protection/>
    </xf>
    <xf numFmtId="0" fontId="50" fillId="34" borderId="0" applyNumberFormat="0" applyBorder="0" applyAlignment="0" applyProtection="0"/>
    <xf numFmtId="0" fontId="21" fillId="35" borderId="0" applyNumberFormat="0" applyBorder="0" applyAlignment="0" applyProtection="0"/>
    <xf numFmtId="0" fontId="50" fillId="36" borderId="0" applyNumberFormat="0" applyBorder="0" applyAlignment="0" applyProtection="0"/>
    <xf numFmtId="0" fontId="21" fillId="37" borderId="0" applyNumberFormat="0" applyBorder="0" applyAlignment="0" applyProtection="0"/>
    <xf numFmtId="0" fontId="50" fillId="38" borderId="0" applyNumberFormat="0" applyBorder="0" applyAlignment="0" applyProtection="0"/>
    <xf numFmtId="0" fontId="21" fillId="39" borderId="0" applyNumberFormat="0" applyBorder="0" applyAlignment="0" applyProtection="0"/>
    <xf numFmtId="0" fontId="50" fillId="40" borderId="0" applyNumberFormat="0" applyBorder="0" applyAlignment="0" applyProtection="0"/>
    <xf numFmtId="0" fontId="21" fillId="29" borderId="0" applyNumberFormat="0" applyBorder="0" applyAlignment="0" applyProtection="0"/>
    <xf numFmtId="0" fontId="50" fillId="41" borderId="0" applyNumberFormat="0" applyBorder="0" applyAlignment="0" applyProtection="0"/>
    <xf numFmtId="0" fontId="21" fillId="31" borderId="0" applyNumberFormat="0" applyBorder="0" applyAlignment="0" applyProtection="0"/>
    <xf numFmtId="0" fontId="50" fillId="42" borderId="0" applyNumberFormat="0" applyBorder="0" applyAlignment="0" applyProtection="0"/>
    <xf numFmtId="0" fontId="21" fillId="43" borderId="0" applyNumberFormat="0" applyBorder="0" applyAlignment="0" applyProtection="0"/>
    <xf numFmtId="0" fontId="51" fillId="44" borderId="1" applyNumberFormat="0" applyAlignment="0" applyProtection="0"/>
    <xf numFmtId="0" fontId="22" fillId="13" borderId="2" applyNumberFormat="0" applyAlignment="0" applyProtection="0"/>
    <xf numFmtId="0" fontId="52" fillId="45" borderId="3" applyNumberFormat="0" applyAlignment="0" applyProtection="0"/>
    <xf numFmtId="0" fontId="23" fillId="46" borderId="4" applyNumberFormat="0" applyAlignment="0" applyProtection="0"/>
    <xf numFmtId="0" fontId="53" fillId="45" borderId="1" applyNumberFormat="0" applyAlignment="0" applyProtection="0"/>
    <xf numFmtId="0" fontId="24" fillId="46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25" fillId="0" borderId="6" applyNumberFormat="0" applyFill="0" applyAlignment="0" applyProtection="0"/>
    <xf numFmtId="0" fontId="55" fillId="0" borderId="7" applyNumberFormat="0" applyFill="0" applyAlignment="0" applyProtection="0"/>
    <xf numFmtId="0" fontId="26" fillId="0" borderId="8" applyNumberFormat="0" applyFill="0" applyAlignment="0" applyProtection="0"/>
    <xf numFmtId="0" fontId="56" fillId="0" borderId="9" applyNumberFormat="0" applyFill="0" applyAlignment="0" applyProtection="0"/>
    <xf numFmtId="0" fontId="27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28" fillId="0" borderId="12" applyNumberFormat="0" applyFill="0" applyAlignment="0" applyProtection="0"/>
    <xf numFmtId="0" fontId="58" fillId="47" borderId="13" applyNumberFormat="0" applyAlignment="0" applyProtection="0"/>
    <xf numFmtId="0" fontId="29" fillId="48" borderId="14" applyNumberFormat="0" applyAlignment="0" applyProtection="0"/>
    <xf numFmtId="0" fontId="5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0" fillId="49" borderId="0" applyNumberFormat="0" applyBorder="0" applyAlignment="0" applyProtection="0"/>
    <xf numFmtId="0" fontId="31" fillId="50" borderId="0" applyNumberFormat="0" applyBorder="0" applyAlignment="0" applyProtection="0"/>
    <xf numFmtId="0" fontId="49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61" fillId="0" borderId="0">
      <alignment/>
      <protection/>
    </xf>
    <xf numFmtId="0" fontId="3" fillId="0" borderId="0">
      <alignment/>
      <protection/>
    </xf>
    <xf numFmtId="0" fontId="6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62" fillId="51" borderId="0" applyNumberFormat="0" applyBorder="0" applyAlignment="0" applyProtection="0"/>
    <xf numFmtId="0" fontId="32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0" fillId="53" borderId="16" applyNumberFormat="0" applyFont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4" fillId="0" borderId="17" applyNumberFormat="0" applyFill="0" applyAlignment="0" applyProtection="0"/>
    <xf numFmtId="0" fontId="34" fillId="0" borderId="18" applyNumberFormat="0" applyFill="0" applyAlignment="0" applyProtection="0"/>
    <xf numFmtId="0" fontId="38" fillId="0" borderId="0">
      <alignment/>
      <protection/>
    </xf>
    <xf numFmtId="0" fontId="6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221" fontId="37" fillId="0" borderId="0" applyFont="0" applyFill="0" applyBorder="0" applyAlignment="0" applyProtection="0"/>
    <xf numFmtId="179" fontId="49" fillId="0" borderId="0" applyFont="0" applyFill="0" applyBorder="0" applyAlignment="0" applyProtection="0"/>
    <xf numFmtId="0" fontId="66" fillId="54" borderId="0" applyNumberFormat="0" applyBorder="0" applyAlignment="0" applyProtection="0"/>
    <xf numFmtId="0" fontId="36" fillId="7" borderId="0" applyNumberFormat="0" applyBorder="0" applyAlignment="0" applyProtection="0"/>
  </cellStyleXfs>
  <cellXfs count="35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94" applyFont="1" applyFill="1" applyAlignment="1">
      <alignment horizontal="right" vertical="center"/>
      <protection/>
    </xf>
    <xf numFmtId="0" fontId="4" fillId="0" borderId="0" xfId="94" applyFont="1" applyFill="1" applyAlignment="1">
      <alignment horizontal="right"/>
      <protection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08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/>
    </xf>
    <xf numFmtId="0" fontId="3" fillId="0" borderId="0" xfId="108" applyFont="1" applyFill="1" applyBorder="1" applyAlignment="1">
      <alignment vertical="center"/>
      <protection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108" applyFont="1" applyFill="1" applyBorder="1" applyAlignment="1">
      <alignment/>
      <protection/>
    </xf>
    <xf numFmtId="0" fontId="5" fillId="0" borderId="0" xfId="0" applyFont="1" applyFill="1" applyAlignment="1">
      <alignment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94" applyFont="1" applyFill="1" applyBorder="1" applyAlignment="1">
      <alignment horizontal="center" vertical="center" textRotation="90" wrapText="1"/>
      <protection/>
    </xf>
    <xf numFmtId="0" fontId="3" fillId="55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67" fillId="0" borderId="0" xfId="98" applyFont="1" applyFill="1" applyBorder="1" applyAlignment="1">
      <alignment/>
      <protection/>
    </xf>
    <xf numFmtId="0" fontId="7" fillId="0" borderId="0" xfId="0" applyFont="1" applyFill="1" applyAlignment="1">
      <alignment/>
    </xf>
    <xf numFmtId="2" fontId="7" fillId="0" borderId="19" xfId="0" applyNumberFormat="1" applyFont="1" applyFill="1" applyBorder="1" applyAlignment="1">
      <alignment horizontal="center" vertical="center"/>
    </xf>
    <xf numFmtId="2" fontId="3" fillId="0" borderId="19" xfId="105" applyNumberFormat="1" applyFont="1" applyFill="1" applyBorder="1" applyAlignment="1">
      <alignment horizontal="center" vertical="center" wrapText="1"/>
      <protection/>
    </xf>
    <xf numFmtId="2" fontId="3" fillId="0" borderId="19" xfId="0" applyNumberFormat="1" applyFont="1" applyFill="1" applyBorder="1" applyAlignment="1">
      <alignment horizontal="left" vertical="center" wrapText="1"/>
    </xf>
    <xf numFmtId="2" fontId="7" fillId="0" borderId="19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/>
    </xf>
    <xf numFmtId="1" fontId="3" fillId="0" borderId="19" xfId="105" applyNumberFormat="1" applyFont="1" applyFill="1" applyBorder="1" applyAlignment="1">
      <alignment horizontal="center" vertical="center" wrapText="1"/>
      <protection/>
    </xf>
    <xf numFmtId="2" fontId="3" fillId="0" borderId="19" xfId="0" applyNumberFormat="1" applyFont="1" applyFill="1" applyBorder="1" applyAlignment="1">
      <alignment/>
    </xf>
    <xf numFmtId="2" fontId="7" fillId="0" borderId="19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3" fontId="3" fillId="0" borderId="19" xfId="0" applyNumberFormat="1" applyFont="1" applyFill="1" applyBorder="1" applyAlignment="1">
      <alignment horizontal="center" vertical="center" wrapText="1"/>
    </xf>
    <xf numFmtId="0" fontId="3" fillId="0" borderId="0" xfId="94" applyFont="1" applyFill="1" applyAlignment="1">
      <alignment horizontal="right" vertical="center"/>
      <protection/>
    </xf>
    <xf numFmtId="4" fontId="3" fillId="0" borderId="0" xfId="0" applyNumberFormat="1" applyFont="1" applyFill="1" applyAlignment="1">
      <alignment vertical="top" wrapText="1"/>
    </xf>
    <xf numFmtId="3" fontId="68" fillId="0" borderId="0" xfId="0" applyNumberFormat="1" applyFont="1" applyFill="1" applyAlignment="1">
      <alignment horizontal="center" vertical="top" wrapText="1"/>
    </xf>
    <xf numFmtId="186" fontId="3" fillId="0" borderId="0" xfId="0" applyNumberFormat="1" applyFont="1" applyFill="1" applyAlignment="1">
      <alignment horizontal="center"/>
    </xf>
    <xf numFmtId="191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192" fontId="3" fillId="0" borderId="0" xfId="0" applyNumberFormat="1" applyFont="1" applyFill="1" applyAlignment="1">
      <alignment/>
    </xf>
    <xf numFmtId="191" fontId="3" fillId="0" borderId="0" xfId="0" applyNumberFormat="1" applyFont="1" applyFill="1" applyAlignment="1">
      <alignment/>
    </xf>
    <xf numFmtId="191" fontId="3" fillId="0" borderId="0" xfId="0" applyNumberFormat="1" applyFont="1" applyFill="1" applyBorder="1" applyAlignment="1">
      <alignment wrapText="1"/>
    </xf>
    <xf numFmtId="186" fontId="3" fillId="0" borderId="0" xfId="0" applyNumberFormat="1" applyFont="1" applyFill="1" applyBorder="1" applyAlignment="1">
      <alignment wrapText="1"/>
    </xf>
    <xf numFmtId="191" fontId="3" fillId="0" borderId="0" xfId="0" applyNumberFormat="1" applyFont="1" applyFill="1" applyBorder="1" applyAlignment="1">
      <alignment/>
    </xf>
    <xf numFmtId="14" fontId="3" fillId="0" borderId="19" xfId="105" applyNumberFormat="1" applyFont="1" applyFill="1" applyBorder="1" applyAlignment="1">
      <alignment horizontal="center" vertical="center" wrapText="1"/>
      <protection/>
    </xf>
    <xf numFmtId="191" fontId="3" fillId="0" borderId="0" xfId="0" applyNumberFormat="1" applyFont="1" applyFill="1" applyBorder="1" applyAlignment="1">
      <alignment horizontal="center"/>
    </xf>
    <xf numFmtId="190" fontId="3" fillId="0" borderId="0" xfId="0" applyNumberFormat="1" applyFont="1" applyFill="1" applyBorder="1" applyAlignment="1">
      <alignment horizontal="center"/>
    </xf>
    <xf numFmtId="190" fontId="3" fillId="0" borderId="0" xfId="0" applyNumberFormat="1" applyFont="1" applyFill="1" applyAlignment="1">
      <alignment/>
    </xf>
    <xf numFmtId="2" fontId="7" fillId="0" borderId="19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1" fontId="7" fillId="0" borderId="24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2" fontId="7" fillId="0" borderId="25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top" wrapText="1"/>
    </xf>
    <xf numFmtId="2" fontId="7" fillId="0" borderId="24" xfId="0" applyNumberFormat="1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 textRotation="90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0" fontId="3" fillId="0" borderId="0" xfId="95" applyFont="1" applyFill="1">
      <alignment/>
      <protection/>
    </xf>
    <xf numFmtId="0" fontId="7" fillId="0" borderId="0" xfId="0" applyFont="1" applyFill="1" applyAlignment="1">
      <alignment wrapText="1"/>
    </xf>
    <xf numFmtId="49" fontId="8" fillId="0" borderId="0" xfId="95" applyNumberFormat="1" applyFont="1" applyFill="1" applyAlignment="1">
      <alignment horizontal="center" vertical="center"/>
      <protection/>
    </xf>
    <xf numFmtId="0" fontId="3" fillId="0" borderId="0" xfId="95" applyFont="1" applyFill="1" applyAlignment="1">
      <alignment wrapText="1"/>
      <protection/>
    </xf>
    <xf numFmtId="0" fontId="3" fillId="0" borderId="0" xfId="95" applyFont="1" applyFill="1" applyAlignment="1">
      <alignment horizontal="right"/>
      <protection/>
    </xf>
    <xf numFmtId="17" fontId="3" fillId="0" borderId="0" xfId="95" applyNumberFormat="1" applyFont="1" applyFill="1">
      <alignment/>
      <protection/>
    </xf>
    <xf numFmtId="0" fontId="10" fillId="0" borderId="27" xfId="95" applyFont="1" applyFill="1" applyBorder="1" applyAlignment="1">
      <alignment horizontal="center" vertical="center" wrapText="1"/>
      <protection/>
    </xf>
    <xf numFmtId="0" fontId="3" fillId="0" borderId="27" xfId="95" applyFont="1" applyFill="1" applyBorder="1" applyAlignment="1">
      <alignment horizontal="center" vertical="center" wrapText="1"/>
      <protection/>
    </xf>
    <xf numFmtId="0" fontId="8" fillId="0" borderId="19" xfId="95" applyFont="1" applyFill="1" applyBorder="1" applyAlignment="1">
      <alignment horizontal="center" vertical="center" wrapText="1"/>
      <protection/>
    </xf>
    <xf numFmtId="49" fontId="11" fillId="0" borderId="24" xfId="95" applyNumberFormat="1" applyFont="1" applyFill="1" applyBorder="1" applyAlignment="1">
      <alignment horizontal="center" vertical="center"/>
      <protection/>
    </xf>
    <xf numFmtId="4" fontId="7" fillId="0" borderId="19" xfId="95" applyNumberFormat="1" applyFont="1" applyFill="1" applyBorder="1" applyAlignment="1">
      <alignment horizontal="center" vertical="center" wrapText="1"/>
      <protection/>
    </xf>
    <xf numFmtId="3" fontId="69" fillId="0" borderId="0" xfId="95" applyNumberFormat="1" applyFont="1" applyFill="1" applyAlignment="1">
      <alignment horizontal="center"/>
      <protection/>
    </xf>
    <xf numFmtId="0" fontId="7" fillId="0" borderId="0" xfId="95" applyFont="1" applyFill="1">
      <alignment/>
      <protection/>
    </xf>
    <xf numFmtId="0" fontId="43" fillId="0" borderId="0" xfId="107" applyFont="1" applyFill="1" applyAlignment="1">
      <alignment vertical="center" wrapText="1"/>
      <protection/>
    </xf>
    <xf numFmtId="0" fontId="70" fillId="0" borderId="0" xfId="89" applyFont="1" applyFill="1" applyAlignment="1">
      <alignment horizontal="justify"/>
      <protection/>
    </xf>
    <xf numFmtId="3" fontId="71" fillId="0" borderId="0" xfId="95" applyNumberFormat="1" applyFont="1" applyFill="1" applyAlignment="1">
      <alignment horizontal="center"/>
      <protection/>
    </xf>
    <xf numFmtId="187" fontId="72" fillId="0" borderId="0" xfId="95" applyNumberFormat="1" applyFont="1" applyFill="1">
      <alignment/>
      <protection/>
    </xf>
    <xf numFmtId="186" fontId="3" fillId="0" borderId="0" xfId="95" applyNumberFormat="1" applyFont="1" applyFill="1">
      <alignment/>
      <protection/>
    </xf>
    <xf numFmtId="0" fontId="5" fillId="0" borderId="0" xfId="105" applyFont="1" applyFill="1" applyAlignment="1">
      <alignment vertical="center"/>
      <protection/>
    </xf>
    <xf numFmtId="0" fontId="3" fillId="0" borderId="0" xfId="105" applyFont="1" applyFill="1" applyAlignment="1">
      <alignment vertical="top"/>
      <protection/>
    </xf>
    <xf numFmtId="49" fontId="11" fillId="0" borderId="23" xfId="95" applyNumberFormat="1" applyFont="1" applyFill="1" applyBorder="1" applyAlignment="1">
      <alignment horizontal="center" vertical="center"/>
      <protection/>
    </xf>
    <xf numFmtId="1" fontId="3" fillId="0" borderId="0" xfId="0" applyNumberFormat="1" applyFont="1" applyFill="1" applyAlignment="1">
      <alignment/>
    </xf>
    <xf numFmtId="43" fontId="3" fillId="0" borderId="0" xfId="0" applyNumberFormat="1" applyFont="1" applyFill="1" applyBorder="1" applyAlignment="1">
      <alignment/>
    </xf>
    <xf numFmtId="0" fontId="4" fillId="0" borderId="0" xfId="105" applyFont="1" applyFill="1" applyAlignment="1">
      <alignment horizontal="center" vertical="center"/>
      <protection/>
    </xf>
    <xf numFmtId="0" fontId="3" fillId="0" borderId="0" xfId="105" applyFont="1" applyFill="1" applyAlignment="1">
      <alignment horizontal="center" vertical="top"/>
      <protection/>
    </xf>
    <xf numFmtId="198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3" fillId="0" borderId="19" xfId="0" applyNumberFormat="1" applyFont="1" applyFill="1" applyBorder="1" applyAlignment="1">
      <alignment horizontal="center" vertical="center"/>
    </xf>
    <xf numFmtId="49" fontId="3" fillId="0" borderId="0" xfId="105" applyNumberFormat="1" applyFont="1" applyFill="1" applyBorder="1" applyAlignment="1">
      <alignment horizontal="center" vertical="center"/>
      <protection/>
    </xf>
    <xf numFmtId="0" fontId="3" fillId="0" borderId="0" xfId="105" applyFont="1" applyFill="1" applyBorder="1" applyAlignment="1">
      <alignment horizontal="center" vertical="center" wrapText="1"/>
      <protection/>
    </xf>
    <xf numFmtId="199" fontId="3" fillId="0" borderId="0" xfId="0" applyNumberFormat="1" applyFont="1" applyFill="1" applyAlignment="1">
      <alignment/>
    </xf>
    <xf numFmtId="0" fontId="4" fillId="0" borderId="0" xfId="105" applyFont="1" applyFill="1" applyBorder="1" applyAlignment="1">
      <alignment horizontal="center" vertical="center"/>
      <protection/>
    </xf>
    <xf numFmtId="0" fontId="7" fillId="0" borderId="0" xfId="98" applyFont="1" applyFill="1" applyBorder="1" applyAlignment="1">
      <alignment horizontal="center"/>
      <protection/>
    </xf>
    <xf numFmtId="0" fontId="3" fillId="0" borderId="0" xfId="100" applyFont="1" applyFill="1" applyBorder="1" applyAlignment="1">
      <alignment horizontal="center" vertical="center"/>
      <protection/>
    </xf>
    <xf numFmtId="0" fontId="3" fillId="0" borderId="0" xfId="100" applyFont="1" applyFill="1" applyBorder="1" applyAlignment="1">
      <alignment horizontal="center" vertical="center" wrapText="1"/>
      <protection/>
    </xf>
    <xf numFmtId="49" fontId="3" fillId="0" borderId="0" xfId="100" applyNumberFormat="1" applyFont="1" applyFill="1" applyBorder="1" applyAlignment="1">
      <alignment horizontal="center" vertical="center"/>
      <protection/>
    </xf>
    <xf numFmtId="0" fontId="3" fillId="0" borderId="19" xfId="100" applyFont="1" applyFill="1" applyBorder="1" applyAlignment="1">
      <alignment horizontal="center" vertical="center" wrapText="1"/>
      <protection/>
    </xf>
    <xf numFmtId="0" fontId="3" fillId="0" borderId="19" xfId="100" applyFont="1" applyFill="1" applyBorder="1" applyAlignment="1">
      <alignment horizontal="center" vertical="center"/>
      <protection/>
    </xf>
    <xf numFmtId="0" fontId="7" fillId="0" borderId="0" xfId="100" applyFont="1" applyFill="1" applyBorder="1" applyAlignment="1">
      <alignment vertical="center"/>
      <protection/>
    </xf>
    <xf numFmtId="0" fontId="3" fillId="0" borderId="26" xfId="100" applyFont="1" applyFill="1" applyBorder="1" applyAlignment="1">
      <alignment horizontal="center" vertical="center" wrapText="1"/>
      <protection/>
    </xf>
    <xf numFmtId="0" fontId="3" fillId="0" borderId="24" xfId="100" applyFont="1" applyFill="1" applyBorder="1" applyAlignment="1">
      <alignment horizontal="center" vertical="center"/>
      <protection/>
    </xf>
    <xf numFmtId="0" fontId="3" fillId="0" borderId="23" xfId="100" applyFont="1" applyFill="1" applyBorder="1" applyAlignment="1">
      <alignment horizontal="center" vertical="center"/>
      <protection/>
    </xf>
    <xf numFmtId="190" fontId="7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9" xfId="105" applyFont="1" applyFill="1" applyBorder="1" applyAlignment="1">
      <alignment horizontal="center" vertical="center" wrapText="1"/>
      <protection/>
    </xf>
    <xf numFmtId="2" fontId="3" fillId="55" borderId="19" xfId="0" applyNumberFormat="1" applyFont="1" applyFill="1" applyBorder="1" applyAlignment="1">
      <alignment horizontal="left" vertical="center" wrapText="1"/>
    </xf>
    <xf numFmtId="2" fontId="7" fillId="55" borderId="19" xfId="0" applyNumberFormat="1" applyFont="1" applyFill="1" applyBorder="1" applyAlignment="1">
      <alignment horizontal="center"/>
    </xf>
    <xf numFmtId="1" fontId="3" fillId="55" borderId="19" xfId="0" applyNumberFormat="1" applyFont="1" applyFill="1" applyBorder="1" applyAlignment="1">
      <alignment horizontal="center" vertical="center"/>
    </xf>
    <xf numFmtId="2" fontId="7" fillId="55" borderId="19" xfId="0" applyNumberFormat="1" applyFont="1" applyFill="1" applyBorder="1" applyAlignment="1">
      <alignment horizontal="center" vertical="center"/>
    </xf>
    <xf numFmtId="1" fontId="3" fillId="55" borderId="19" xfId="105" applyNumberFormat="1" applyFont="1" applyFill="1" applyBorder="1" applyAlignment="1">
      <alignment horizontal="center" vertical="center" wrapText="1"/>
      <protection/>
    </xf>
    <xf numFmtId="2" fontId="7" fillId="55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1" fontId="7" fillId="0" borderId="19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 wrapText="1"/>
    </xf>
    <xf numFmtId="2" fontId="3" fillId="0" borderId="26" xfId="0" applyNumberFormat="1" applyFont="1" applyFill="1" applyBorder="1" applyAlignment="1">
      <alignment/>
    </xf>
    <xf numFmtId="2" fontId="7" fillId="0" borderId="19" xfId="105" applyNumberFormat="1" applyFont="1" applyFill="1" applyBorder="1" applyAlignment="1">
      <alignment horizontal="center" vertical="center" wrapText="1"/>
      <protection/>
    </xf>
    <xf numFmtId="1" fontId="68" fillId="0" borderId="0" xfId="0" applyNumberFormat="1" applyFont="1" applyFill="1" applyAlignment="1">
      <alignment horizontal="center" wrapText="1"/>
    </xf>
    <xf numFmtId="0" fontId="5" fillId="0" borderId="19" xfId="0" applyFont="1" applyFill="1" applyBorder="1" applyAlignment="1">
      <alignment horizontal="left" vertical="center" wrapText="1"/>
    </xf>
    <xf numFmtId="2" fontId="14" fillId="0" borderId="19" xfId="0" applyNumberFormat="1" applyFont="1" applyFill="1" applyBorder="1" applyAlignment="1">
      <alignment horizontal="center"/>
    </xf>
    <xf numFmtId="1" fontId="7" fillId="0" borderId="19" xfId="105" applyNumberFormat="1" applyFont="1" applyFill="1" applyBorder="1" applyAlignment="1">
      <alignment horizontal="center" vertical="center" wrapText="1"/>
      <protection/>
    </xf>
    <xf numFmtId="2" fontId="7" fillId="0" borderId="26" xfId="105" applyNumberFormat="1" applyFont="1" applyFill="1" applyBorder="1" applyAlignment="1">
      <alignment horizontal="center" vertical="center" wrapText="1"/>
      <protection/>
    </xf>
    <xf numFmtId="186" fontId="3" fillId="0" borderId="19" xfId="0" applyNumberFormat="1" applyFont="1" applyFill="1" applyBorder="1" applyAlignment="1">
      <alignment/>
    </xf>
    <xf numFmtId="2" fontId="7" fillId="0" borderId="21" xfId="0" applyNumberFormat="1" applyFont="1" applyFill="1" applyBorder="1" applyAlignment="1">
      <alignment horizontal="left" vertical="center" wrapText="1"/>
    </xf>
    <xf numFmtId="2" fontId="7" fillId="0" borderId="21" xfId="0" applyNumberFormat="1" applyFont="1" applyFill="1" applyBorder="1" applyAlignment="1">
      <alignment horizontal="center" vertical="center"/>
    </xf>
    <xf numFmtId="2" fontId="15" fillId="0" borderId="19" xfId="124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left" vertical="center" wrapText="1"/>
    </xf>
    <xf numFmtId="17" fontId="3" fillId="0" borderId="19" xfId="105" applyNumberFormat="1" applyFont="1" applyFill="1" applyBorder="1" applyAlignment="1">
      <alignment horizontal="center" vertical="center" wrapText="1"/>
      <protection/>
    </xf>
    <xf numFmtId="196" fontId="68" fillId="0" borderId="0" xfId="0" applyNumberFormat="1" applyFont="1" applyFill="1" applyAlignment="1">
      <alignment/>
    </xf>
    <xf numFmtId="2" fontId="3" fillId="0" borderId="24" xfId="0" applyNumberFormat="1" applyFont="1" applyFill="1" applyBorder="1" applyAlignment="1">
      <alignment horizontal="center" wrapText="1"/>
    </xf>
    <xf numFmtId="2" fontId="7" fillId="0" borderId="28" xfId="0" applyNumberFormat="1" applyFont="1" applyFill="1" applyBorder="1" applyAlignment="1">
      <alignment horizontal="left" vertical="center" wrapText="1"/>
    </xf>
    <xf numFmtId="2" fontId="7" fillId="0" borderId="28" xfId="0" applyNumberFormat="1" applyFont="1" applyFill="1" applyBorder="1" applyAlignment="1">
      <alignment horizontal="center" vertical="center"/>
    </xf>
    <xf numFmtId="1" fontId="7" fillId="0" borderId="28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left" wrapText="1"/>
    </xf>
    <xf numFmtId="2" fontId="7" fillId="0" borderId="19" xfId="0" applyNumberFormat="1" applyFont="1" applyFill="1" applyBorder="1" applyAlignment="1">
      <alignment horizontal="center" wrapText="1"/>
    </xf>
    <xf numFmtId="2" fontId="7" fillId="0" borderId="28" xfId="0" applyNumberFormat="1" applyFont="1" applyFill="1" applyBorder="1" applyAlignment="1">
      <alignment horizontal="center" vertical="center" wrapText="1"/>
    </xf>
    <xf numFmtId="190" fontId="68" fillId="0" borderId="0" xfId="0" applyNumberFormat="1" applyFont="1" applyFill="1" applyAlignment="1">
      <alignment horizontal="center" wrapText="1"/>
    </xf>
    <xf numFmtId="0" fontId="3" fillId="0" borderId="19" xfId="0" applyFont="1" applyFill="1" applyBorder="1" applyAlignment="1">
      <alignment horizontal="left" vertical="center" wrapText="1" indent="1"/>
    </xf>
    <xf numFmtId="0" fontId="3" fillId="0" borderId="19" xfId="95" applyFont="1" applyFill="1" applyBorder="1" applyAlignment="1">
      <alignment horizontal="left" vertical="center" wrapText="1" indent="3"/>
      <protection/>
    </xf>
    <xf numFmtId="0" fontId="3" fillId="0" borderId="19" xfId="0" applyFont="1" applyFill="1" applyBorder="1" applyAlignment="1">
      <alignment vertical="center"/>
    </xf>
    <xf numFmtId="0" fontId="3" fillId="0" borderId="19" xfId="95" applyFont="1" applyFill="1" applyBorder="1" applyAlignment="1">
      <alignment horizontal="left" vertical="center" wrapText="1" indent="5"/>
      <protection/>
    </xf>
    <xf numFmtId="0" fontId="3" fillId="0" borderId="28" xfId="0" applyFont="1" applyFill="1" applyBorder="1" applyAlignment="1">
      <alignment horizontal="left" vertical="center" wrapText="1" indent="1"/>
    </xf>
    <xf numFmtId="198" fontId="68" fillId="0" borderId="0" xfId="0" applyNumberFormat="1" applyFont="1" applyFill="1" applyAlignment="1">
      <alignment horizontal="center"/>
    </xf>
    <xf numFmtId="190" fontId="68" fillId="0" borderId="0" xfId="0" applyNumberFormat="1" applyFont="1" applyFill="1" applyAlignment="1">
      <alignment/>
    </xf>
    <xf numFmtId="190" fontId="3" fillId="0" borderId="19" xfId="105" applyNumberFormat="1" applyFont="1" applyFill="1" applyBorder="1" applyAlignment="1">
      <alignment horizontal="center" vertical="center" wrapText="1"/>
      <protection/>
    </xf>
    <xf numFmtId="190" fontId="3" fillId="0" borderId="26" xfId="105" applyNumberFormat="1" applyFont="1" applyFill="1" applyBorder="1" applyAlignment="1">
      <alignment horizontal="center" vertical="center" wrapText="1"/>
      <protection/>
    </xf>
    <xf numFmtId="190" fontId="7" fillId="0" borderId="26" xfId="105" applyNumberFormat="1" applyFont="1" applyFill="1" applyBorder="1" applyAlignment="1">
      <alignment horizontal="center" vertical="center" wrapText="1"/>
      <protection/>
    </xf>
    <xf numFmtId="190" fontId="3" fillId="0" borderId="19" xfId="0" applyNumberFormat="1" applyFont="1" applyFill="1" applyBorder="1" applyAlignment="1">
      <alignment horizontal="center" vertical="center"/>
    </xf>
    <xf numFmtId="190" fontId="3" fillId="0" borderId="19" xfId="0" applyNumberFormat="1" applyFont="1" applyFill="1" applyBorder="1" applyAlignment="1">
      <alignment/>
    </xf>
    <xf numFmtId="190" fontId="3" fillId="0" borderId="19" xfId="0" applyNumberFormat="1" applyFont="1" applyFill="1" applyBorder="1" applyAlignment="1">
      <alignment horizontal="center"/>
    </xf>
    <xf numFmtId="190" fontId="3" fillId="0" borderId="19" xfId="0" applyNumberFormat="1" applyFont="1" applyFill="1" applyBorder="1" applyAlignment="1">
      <alignment vertical="center"/>
    </xf>
    <xf numFmtId="190" fontId="3" fillId="0" borderId="19" xfId="124" applyNumberFormat="1" applyFont="1" applyFill="1" applyBorder="1" applyAlignment="1">
      <alignment horizontal="center" vertical="center" wrapText="1"/>
    </xf>
    <xf numFmtId="190" fontId="17" fillId="0" borderId="28" xfId="124" applyNumberFormat="1" applyFont="1" applyFill="1" applyBorder="1" applyAlignment="1">
      <alignment horizontal="center" vertical="center" wrapText="1"/>
    </xf>
    <xf numFmtId="190" fontId="17" fillId="0" borderId="29" xfId="124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wrapText="1"/>
    </xf>
    <xf numFmtId="190" fontId="7" fillId="0" borderId="28" xfId="0" applyNumberFormat="1" applyFont="1" applyFill="1" applyBorder="1" applyAlignment="1">
      <alignment horizontal="center"/>
    </xf>
    <xf numFmtId="196" fontId="3" fillId="0" borderId="19" xfId="95" applyNumberFormat="1" applyFont="1" applyFill="1" applyBorder="1" applyAlignment="1">
      <alignment horizontal="center" vertical="center" wrapText="1"/>
      <protection/>
    </xf>
    <xf numFmtId="196" fontId="3" fillId="0" borderId="28" xfId="95" applyNumberFormat="1" applyFont="1" applyFill="1" applyBorder="1" applyAlignment="1">
      <alignment horizontal="center" vertical="center" wrapText="1"/>
      <protection/>
    </xf>
    <xf numFmtId="196" fontId="3" fillId="0" borderId="29" xfId="95" applyNumberFormat="1" applyFont="1" applyFill="1" applyBorder="1" applyAlignment="1">
      <alignment horizontal="center" vertical="center" wrapText="1"/>
      <protection/>
    </xf>
    <xf numFmtId="4" fontId="7" fillId="0" borderId="0" xfId="95" applyNumberFormat="1" applyFont="1" applyFill="1">
      <alignment/>
      <protection/>
    </xf>
    <xf numFmtId="195" fontId="3" fillId="0" borderId="0" xfId="0" applyNumberFormat="1" applyFont="1" applyFill="1" applyAlignment="1">
      <alignment horizontal="center"/>
    </xf>
    <xf numFmtId="218" fontId="3" fillId="0" borderId="0" xfId="0" applyNumberFormat="1" applyFont="1" applyFill="1" applyAlignment="1">
      <alignment vertical="top" wrapText="1"/>
    </xf>
    <xf numFmtId="186" fontId="3" fillId="0" borderId="0" xfId="0" applyNumberFormat="1" applyFont="1" applyFill="1" applyAlignment="1">
      <alignment/>
    </xf>
    <xf numFmtId="4" fontId="3" fillId="0" borderId="19" xfId="95" applyNumberFormat="1" applyFont="1" applyFill="1" applyBorder="1" applyAlignment="1">
      <alignment horizontal="center" vertical="center" wrapText="1"/>
      <protection/>
    </xf>
    <xf numFmtId="222" fontId="3" fillId="0" borderId="0" xfId="0" applyNumberFormat="1" applyFont="1" applyFill="1" applyBorder="1" applyAlignment="1">
      <alignment/>
    </xf>
    <xf numFmtId="191" fontId="3" fillId="0" borderId="19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wrapText="1"/>
    </xf>
    <xf numFmtId="0" fontId="19" fillId="0" borderId="0" xfId="105" applyFont="1" applyFill="1" applyAlignment="1">
      <alignment horizontal="center" vertical="center"/>
      <protection/>
    </xf>
    <xf numFmtId="1" fontId="7" fillId="0" borderId="0" xfId="0" applyNumberFormat="1" applyFont="1" applyFill="1" applyBorder="1" applyAlignment="1">
      <alignment horizontal="center" vertical="top"/>
    </xf>
    <xf numFmtId="0" fontId="7" fillId="0" borderId="0" xfId="108" applyFont="1" applyFill="1" applyBorder="1" applyAlignment="1">
      <alignment horizontal="center"/>
      <protection/>
    </xf>
    <xf numFmtId="0" fontId="67" fillId="0" borderId="0" xfId="98" applyFont="1" applyFill="1" applyBorder="1" applyAlignment="1">
      <alignment horizontal="center" wrapText="1"/>
      <protection/>
    </xf>
    <xf numFmtId="0" fontId="7" fillId="0" borderId="0" xfId="0" applyFont="1" applyFill="1" applyAlignment="1">
      <alignment horizontal="center" wrapText="1"/>
    </xf>
    <xf numFmtId="0" fontId="7" fillId="0" borderId="0" xfId="95" applyFont="1" applyFill="1" applyBorder="1" applyAlignment="1">
      <alignment horizontal="center" vertical="center" wrapText="1"/>
      <protection/>
    </xf>
    <xf numFmtId="0" fontId="70" fillId="0" borderId="0" xfId="89" applyFont="1" applyFill="1" applyAlignment="1">
      <alignment horizontal="center" vertical="center"/>
      <protection/>
    </xf>
    <xf numFmtId="0" fontId="73" fillId="0" borderId="0" xfId="89" applyFont="1" applyFill="1" applyAlignment="1">
      <alignment horizontal="center" vertical="top"/>
      <protection/>
    </xf>
    <xf numFmtId="49" fontId="3" fillId="0" borderId="0" xfId="95" applyNumberFormat="1" applyFont="1" applyFill="1" applyAlignment="1">
      <alignment horizontal="left" vertical="center" wrapText="1"/>
      <protection/>
    </xf>
    <xf numFmtId="0" fontId="3" fillId="0" borderId="0" xfId="95" applyFont="1" applyFill="1" applyAlignment="1">
      <alignment horizontal="left" vertical="top" wrapText="1"/>
      <protection/>
    </xf>
    <xf numFmtId="0" fontId="16" fillId="0" borderId="0" xfId="95" applyFont="1" applyFill="1" applyBorder="1" applyAlignment="1">
      <alignment horizontal="center" vertical="center" wrapText="1"/>
      <protection/>
    </xf>
    <xf numFmtId="0" fontId="13" fillId="0" borderId="0" xfId="95" applyFont="1" applyFill="1" applyAlignment="1">
      <alignment horizontal="center"/>
      <protection/>
    </xf>
    <xf numFmtId="0" fontId="3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left" textRotation="90" wrapText="1" readingOrder="1"/>
    </xf>
    <xf numFmtId="0" fontId="3" fillId="0" borderId="30" xfId="0" applyFont="1" applyFill="1" applyBorder="1" applyAlignment="1">
      <alignment horizontal="center" vertical="center" textRotation="90" wrapText="1"/>
    </xf>
    <xf numFmtId="49" fontId="3" fillId="0" borderId="22" xfId="0" applyNumberFormat="1" applyFont="1" applyFill="1" applyBorder="1" applyAlignment="1">
      <alignment horizontal="center" vertical="center" wrapText="1"/>
    </xf>
    <xf numFmtId="2" fontId="7" fillId="0" borderId="22" xfId="105" applyNumberFormat="1" applyFont="1" applyFill="1" applyBorder="1" applyAlignment="1">
      <alignment horizontal="center" vertical="center" wrapText="1"/>
      <protection/>
    </xf>
    <xf numFmtId="190" fontId="3" fillId="0" borderId="22" xfId="105" applyNumberFormat="1" applyFont="1" applyFill="1" applyBorder="1" applyAlignment="1">
      <alignment horizontal="center" vertical="center" wrapText="1"/>
      <protection/>
    </xf>
    <xf numFmtId="190" fontId="7" fillId="0" borderId="22" xfId="105" applyNumberFormat="1" applyFont="1" applyFill="1" applyBorder="1" applyAlignment="1">
      <alignment horizontal="center" vertical="center" wrapText="1"/>
      <protection/>
    </xf>
    <xf numFmtId="0" fontId="3" fillId="0" borderId="21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2" fontId="3" fillId="0" borderId="22" xfId="0" applyNumberFormat="1" applyFont="1" applyFill="1" applyBorder="1" applyAlignment="1">
      <alignment horizontal="center"/>
    </xf>
    <xf numFmtId="190" fontId="3" fillId="0" borderId="22" xfId="0" applyNumberFormat="1" applyFont="1" applyFill="1" applyBorder="1" applyAlignment="1">
      <alignment horizontal="center"/>
    </xf>
    <xf numFmtId="190" fontId="3" fillId="0" borderId="22" xfId="0" applyNumberFormat="1" applyFont="1" applyFill="1" applyBorder="1" applyAlignment="1">
      <alignment/>
    </xf>
    <xf numFmtId="190" fontId="3" fillId="0" borderId="22" xfId="0" applyNumberFormat="1" applyFont="1" applyFill="1" applyBorder="1" applyAlignment="1">
      <alignment horizontal="center" vertical="center"/>
    </xf>
    <xf numFmtId="2" fontId="3" fillId="56" borderId="0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 textRotation="90" wrapText="1"/>
    </xf>
    <xf numFmtId="2" fontId="3" fillId="0" borderId="25" xfId="0" applyNumberFormat="1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left" vertical="center" wrapText="1"/>
    </xf>
    <xf numFmtId="3" fontId="3" fillId="0" borderId="28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0" fontId="3" fillId="0" borderId="22" xfId="100" applyFont="1" applyFill="1" applyBorder="1" applyAlignment="1">
      <alignment horizontal="center" vertical="center" wrapText="1"/>
      <protection/>
    </xf>
    <xf numFmtId="2" fontId="3" fillId="0" borderId="22" xfId="0" applyNumberFormat="1" applyFont="1" applyFill="1" applyBorder="1" applyAlignment="1">
      <alignment/>
    </xf>
    <xf numFmtId="190" fontId="7" fillId="0" borderId="31" xfId="0" applyNumberFormat="1" applyFont="1" applyFill="1" applyBorder="1" applyAlignment="1">
      <alignment horizontal="center"/>
    </xf>
    <xf numFmtId="0" fontId="8" fillId="0" borderId="22" xfId="95" applyFont="1" applyFill="1" applyBorder="1" applyAlignment="1">
      <alignment horizontal="center" vertical="center" wrapText="1"/>
      <protection/>
    </xf>
    <xf numFmtId="4" fontId="7" fillId="0" borderId="22" xfId="95" applyNumberFormat="1" applyFont="1" applyFill="1" applyBorder="1" applyAlignment="1">
      <alignment horizontal="center" vertical="center" wrapText="1"/>
      <protection/>
    </xf>
    <xf numFmtId="4" fontId="3" fillId="0" borderId="22" xfId="95" applyNumberFormat="1" applyFont="1" applyFill="1" applyBorder="1" applyAlignment="1">
      <alignment horizontal="center" vertical="center" wrapText="1"/>
      <protection/>
    </xf>
    <xf numFmtId="196" fontId="3" fillId="0" borderId="22" xfId="95" applyNumberFormat="1" applyFont="1" applyFill="1" applyBorder="1" applyAlignment="1">
      <alignment horizontal="center" vertical="center" wrapText="1"/>
      <protection/>
    </xf>
    <xf numFmtId="196" fontId="3" fillId="0" borderId="31" xfId="95" applyNumberFormat="1" applyFont="1" applyFill="1" applyBorder="1" applyAlignment="1">
      <alignment horizontal="center" vertical="center" wrapText="1"/>
      <protection/>
    </xf>
    <xf numFmtId="2" fontId="7" fillId="0" borderId="32" xfId="0" applyNumberFormat="1" applyFont="1" applyFill="1" applyBorder="1" applyAlignment="1">
      <alignment horizontal="center" vertical="center" wrapText="1"/>
    </xf>
    <xf numFmtId="2" fontId="7" fillId="0" borderId="33" xfId="0" applyNumberFormat="1" applyFont="1" applyFill="1" applyBorder="1" applyAlignment="1">
      <alignment horizontal="left" vertical="center" wrapText="1"/>
    </xf>
    <xf numFmtId="2" fontId="7" fillId="0" borderId="33" xfId="0" applyNumberFormat="1" applyFont="1" applyFill="1" applyBorder="1" applyAlignment="1">
      <alignment horizontal="center" vertical="center"/>
    </xf>
    <xf numFmtId="1" fontId="7" fillId="0" borderId="33" xfId="105" applyNumberFormat="1" applyFont="1" applyFill="1" applyBorder="1" applyAlignment="1">
      <alignment horizontal="center" vertical="center" wrapText="1"/>
      <protection/>
    </xf>
    <xf numFmtId="2" fontId="7" fillId="0" borderId="33" xfId="105" applyNumberFormat="1" applyFont="1" applyFill="1" applyBorder="1" applyAlignment="1">
      <alignment horizontal="center" vertical="center" wrapText="1"/>
      <protection/>
    </xf>
    <xf numFmtId="190" fontId="7" fillId="0" borderId="34" xfId="105" applyNumberFormat="1" applyFont="1" applyFill="1" applyBorder="1" applyAlignment="1">
      <alignment horizontal="center" vertical="center" wrapText="1"/>
      <protection/>
    </xf>
    <xf numFmtId="2" fontId="7" fillId="55" borderId="28" xfId="0" applyNumberFormat="1" applyFont="1" applyFill="1" applyBorder="1" applyAlignment="1">
      <alignment horizontal="center" vertical="center"/>
    </xf>
    <xf numFmtId="1" fontId="3" fillId="0" borderId="28" xfId="105" applyNumberFormat="1" applyFont="1" applyFill="1" applyBorder="1" applyAlignment="1">
      <alignment horizontal="center" vertical="center" wrapText="1"/>
      <protection/>
    </xf>
    <xf numFmtId="2" fontId="3" fillId="0" borderId="28" xfId="105" applyNumberFormat="1" applyFont="1" applyFill="1" applyBorder="1" applyAlignment="1">
      <alignment horizontal="center" vertical="center" wrapText="1"/>
      <protection/>
    </xf>
    <xf numFmtId="14" fontId="3" fillId="0" borderId="28" xfId="105" applyNumberFormat="1" applyFont="1" applyFill="1" applyBorder="1" applyAlignment="1">
      <alignment horizontal="center" vertical="center" wrapText="1"/>
      <protection/>
    </xf>
    <xf numFmtId="190" fontId="3" fillId="0" borderId="28" xfId="105" applyNumberFormat="1" applyFont="1" applyFill="1" applyBorder="1" applyAlignment="1">
      <alignment horizontal="center" vertical="center" wrapText="1"/>
      <protection/>
    </xf>
    <xf numFmtId="2" fontId="15" fillId="0" borderId="28" xfId="124" applyNumberFormat="1" applyFont="1" applyFill="1" applyBorder="1" applyAlignment="1">
      <alignment horizontal="center" vertical="center" wrapText="1"/>
    </xf>
    <xf numFmtId="190" fontId="3" fillId="0" borderId="31" xfId="105" applyNumberFormat="1" applyFont="1" applyFill="1" applyBorder="1" applyAlignment="1">
      <alignment horizontal="center" vertical="center" wrapText="1"/>
      <protection/>
    </xf>
    <xf numFmtId="190" fontId="3" fillId="0" borderId="29" xfId="105" applyNumberFormat="1" applyFont="1" applyFill="1" applyBorder="1" applyAlignment="1">
      <alignment horizontal="center" vertical="center" wrapText="1"/>
      <protection/>
    </xf>
    <xf numFmtId="190" fontId="7" fillId="0" borderId="35" xfId="105" applyNumberFormat="1" applyFont="1" applyFill="1" applyBorder="1" applyAlignment="1">
      <alignment horizontal="center" vertical="center" wrapText="1"/>
      <protection/>
    </xf>
    <xf numFmtId="191" fontId="3" fillId="0" borderId="0" xfId="0" applyNumberFormat="1" applyFont="1" applyFill="1" applyAlignment="1">
      <alignment/>
    </xf>
    <xf numFmtId="0" fontId="3" fillId="0" borderId="19" xfId="0" applyFont="1" applyFill="1" applyBorder="1" applyAlignment="1">
      <alignment horizontal="left" vertical="center" textRotation="90" wrapText="1" readingOrder="1"/>
    </xf>
    <xf numFmtId="0" fontId="3" fillId="0" borderId="36" xfId="100" applyFont="1" applyFill="1" applyBorder="1" applyAlignment="1">
      <alignment horizontal="center" vertical="center" wrapText="1"/>
      <protection/>
    </xf>
    <xf numFmtId="4" fontId="3" fillId="0" borderId="26" xfId="95" applyNumberFormat="1" applyFont="1" applyFill="1" applyBorder="1" applyAlignment="1">
      <alignment horizontal="center" vertical="center" wrapText="1"/>
      <protection/>
    </xf>
    <xf numFmtId="196" fontId="3" fillId="0" borderId="26" xfId="95" applyNumberFormat="1" applyFont="1" applyFill="1" applyBorder="1" applyAlignment="1">
      <alignment horizontal="center" vertical="center" wrapText="1"/>
      <protection/>
    </xf>
    <xf numFmtId="186" fontId="3" fillId="0" borderId="19" xfId="105" applyNumberFormat="1" applyFont="1" applyFill="1" applyBorder="1" applyAlignment="1">
      <alignment horizontal="center" vertical="center" wrapText="1"/>
      <protection/>
    </xf>
    <xf numFmtId="190" fontId="3" fillId="0" borderId="26" xfId="0" applyNumberFormat="1" applyFont="1" applyFill="1" applyBorder="1" applyAlignment="1">
      <alignment horizontal="center"/>
    </xf>
    <xf numFmtId="190" fontId="17" fillId="0" borderId="31" xfId="124" applyNumberFormat="1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190" fontId="7" fillId="0" borderId="29" xfId="0" applyNumberFormat="1" applyFont="1" applyFill="1" applyBorder="1" applyAlignment="1">
      <alignment horizontal="center"/>
    </xf>
    <xf numFmtId="4" fontId="7" fillId="0" borderId="26" xfId="95" applyNumberFormat="1" applyFont="1" applyFill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105" applyFont="1" applyFill="1" applyAlignment="1">
      <alignment horizontal="center" vertical="center"/>
      <protection/>
    </xf>
    <xf numFmtId="0" fontId="3" fillId="0" borderId="0" xfId="105" applyFont="1" applyFill="1" applyAlignment="1">
      <alignment horizontal="center" vertical="top"/>
      <protection/>
    </xf>
    <xf numFmtId="0" fontId="3" fillId="0" borderId="4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9" fillId="0" borderId="0" xfId="105" applyFont="1" applyFill="1" applyAlignment="1">
      <alignment horizontal="center" vertical="center"/>
      <protection/>
    </xf>
    <xf numFmtId="1" fontId="7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left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 wrapText="1"/>
    </xf>
    <xf numFmtId="0" fontId="3" fillId="0" borderId="19" xfId="100" applyFont="1" applyFill="1" applyBorder="1" applyAlignment="1">
      <alignment horizontal="center" vertical="center"/>
      <protection/>
    </xf>
    <xf numFmtId="0" fontId="3" fillId="0" borderId="22" xfId="100" applyFont="1" applyFill="1" applyBorder="1" applyAlignment="1">
      <alignment horizontal="center" vertical="center"/>
      <protection/>
    </xf>
    <xf numFmtId="0" fontId="3" fillId="0" borderId="37" xfId="100" applyFont="1" applyFill="1" applyBorder="1" applyAlignment="1">
      <alignment horizontal="center" vertical="center"/>
      <protection/>
    </xf>
    <xf numFmtId="0" fontId="3" fillId="0" borderId="23" xfId="100" applyFont="1" applyFill="1" applyBorder="1" applyAlignment="1">
      <alignment horizontal="center" vertical="center"/>
      <protection/>
    </xf>
    <xf numFmtId="0" fontId="74" fillId="0" borderId="22" xfId="100" applyFont="1" applyFill="1" applyBorder="1" applyAlignment="1">
      <alignment horizontal="center" vertical="center" wrapText="1"/>
      <protection/>
    </xf>
    <xf numFmtId="0" fontId="74" fillId="0" borderId="37" xfId="100" applyFont="1" applyFill="1" applyBorder="1" applyAlignment="1">
      <alignment horizontal="center" vertical="center" wrapText="1"/>
      <protection/>
    </xf>
    <xf numFmtId="0" fontId="3" fillId="0" borderId="19" xfId="100" applyFont="1" applyFill="1" applyBorder="1" applyAlignment="1">
      <alignment horizontal="center" vertical="center" wrapText="1"/>
      <protection/>
    </xf>
    <xf numFmtId="0" fontId="3" fillId="0" borderId="43" xfId="100" applyFont="1" applyFill="1" applyBorder="1" applyAlignment="1">
      <alignment horizontal="center" vertical="center" wrapText="1"/>
      <protection/>
    </xf>
    <xf numFmtId="0" fontId="3" fillId="0" borderId="24" xfId="100" applyFont="1" applyFill="1" applyBorder="1" applyAlignment="1">
      <alignment horizontal="center" vertical="center" wrapText="1"/>
      <protection/>
    </xf>
    <xf numFmtId="0" fontId="3" fillId="0" borderId="27" xfId="100" applyFont="1" applyFill="1" applyBorder="1" applyAlignment="1">
      <alignment horizontal="center" vertical="center" wrapText="1"/>
      <protection/>
    </xf>
    <xf numFmtId="0" fontId="3" fillId="0" borderId="19" xfId="105" applyFont="1" applyFill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/>
    </xf>
    <xf numFmtId="0" fontId="3" fillId="0" borderId="23" xfId="100" applyFont="1" applyFill="1" applyBorder="1" applyAlignment="1">
      <alignment horizontal="center" vertical="center" wrapText="1"/>
      <protection/>
    </xf>
    <xf numFmtId="0" fontId="3" fillId="0" borderId="38" xfId="108" applyFont="1" applyFill="1" applyBorder="1" applyAlignment="1">
      <alignment horizontal="center" vertical="center" wrapText="1"/>
      <protection/>
    </xf>
    <xf numFmtId="0" fontId="3" fillId="0" borderId="48" xfId="108" applyFont="1" applyFill="1" applyBorder="1" applyAlignment="1">
      <alignment horizontal="center" vertical="center" wrapText="1"/>
      <protection/>
    </xf>
    <xf numFmtId="0" fontId="3" fillId="0" borderId="49" xfId="108" applyFont="1" applyFill="1" applyBorder="1" applyAlignment="1">
      <alignment horizontal="center" vertical="center" wrapText="1"/>
      <protection/>
    </xf>
    <xf numFmtId="0" fontId="74" fillId="0" borderId="19" xfId="100" applyFont="1" applyFill="1" applyBorder="1" applyAlignment="1">
      <alignment horizontal="center" vertical="center" wrapText="1"/>
      <protection/>
    </xf>
    <xf numFmtId="0" fontId="74" fillId="0" borderId="26" xfId="100" applyFont="1" applyFill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7" fillId="0" borderId="0" xfId="98" applyFont="1" applyFill="1" applyBorder="1" applyAlignment="1">
      <alignment horizontal="center"/>
      <protection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108" applyFont="1" applyFill="1" applyBorder="1" applyAlignment="1">
      <alignment horizontal="center"/>
      <protection/>
    </xf>
    <xf numFmtId="0" fontId="3" fillId="0" borderId="51" xfId="100" applyFont="1" applyFill="1" applyBorder="1" applyAlignment="1">
      <alignment horizontal="center" vertical="center" wrapText="1"/>
      <protection/>
    </xf>
    <xf numFmtId="0" fontId="3" fillId="0" borderId="52" xfId="100" applyFont="1" applyFill="1" applyBorder="1" applyAlignment="1">
      <alignment horizontal="center" vertical="center" wrapText="1"/>
      <protection/>
    </xf>
    <xf numFmtId="0" fontId="3" fillId="0" borderId="53" xfId="100" applyFont="1" applyFill="1" applyBorder="1" applyAlignment="1">
      <alignment horizontal="center" vertical="center" wrapText="1"/>
      <protection/>
    </xf>
    <xf numFmtId="0" fontId="3" fillId="0" borderId="36" xfId="100" applyFont="1" applyFill="1" applyBorder="1" applyAlignment="1">
      <alignment horizontal="center" vertical="center" wrapText="1"/>
      <protection/>
    </xf>
    <xf numFmtId="0" fontId="3" fillId="0" borderId="21" xfId="100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/>
    </xf>
    <xf numFmtId="0" fontId="3" fillId="0" borderId="54" xfId="100" applyFont="1" applyFill="1" applyBorder="1" applyAlignment="1">
      <alignment horizontal="center" vertical="center" wrapText="1"/>
      <protection/>
    </xf>
    <xf numFmtId="0" fontId="3" fillId="0" borderId="20" xfId="100" applyFont="1" applyFill="1" applyBorder="1" applyAlignment="1">
      <alignment horizontal="center" vertical="center" wrapText="1"/>
      <protection/>
    </xf>
    <xf numFmtId="0" fontId="3" fillId="0" borderId="26" xfId="100" applyFont="1" applyFill="1" applyBorder="1" applyAlignment="1">
      <alignment horizontal="center" vertical="center" wrapText="1"/>
      <protection/>
    </xf>
    <xf numFmtId="0" fontId="3" fillId="0" borderId="44" xfId="100" applyFont="1" applyFill="1" applyBorder="1" applyAlignment="1">
      <alignment horizontal="center" vertical="center"/>
      <protection/>
    </xf>
    <xf numFmtId="0" fontId="3" fillId="0" borderId="45" xfId="100" applyFont="1" applyFill="1" applyBorder="1" applyAlignment="1">
      <alignment horizontal="center" vertical="center"/>
      <protection/>
    </xf>
    <xf numFmtId="0" fontId="3" fillId="0" borderId="47" xfId="100" applyFont="1" applyFill="1" applyBorder="1" applyAlignment="1">
      <alignment horizontal="center" vertical="center"/>
      <protection/>
    </xf>
    <xf numFmtId="0" fontId="3" fillId="0" borderId="22" xfId="100" applyFont="1" applyFill="1" applyBorder="1" applyAlignment="1">
      <alignment horizontal="center" vertical="center" wrapText="1"/>
      <protection/>
    </xf>
    <xf numFmtId="0" fontId="3" fillId="0" borderId="37" xfId="100" applyFont="1" applyFill="1" applyBorder="1" applyAlignment="1">
      <alignment horizontal="center" vertical="center" wrapText="1"/>
      <protection/>
    </xf>
    <xf numFmtId="0" fontId="3" fillId="0" borderId="55" xfId="100" applyFont="1" applyFill="1" applyBorder="1" applyAlignment="1">
      <alignment horizontal="center" vertical="center" wrapText="1"/>
      <protection/>
    </xf>
    <xf numFmtId="0" fontId="3" fillId="0" borderId="38" xfId="100" applyFont="1" applyFill="1" applyBorder="1" applyAlignment="1">
      <alignment horizontal="center" vertical="center" wrapText="1"/>
      <protection/>
    </xf>
    <xf numFmtId="0" fontId="3" fillId="0" borderId="39" xfId="100" applyFont="1" applyFill="1" applyBorder="1" applyAlignment="1">
      <alignment horizontal="center" vertical="center" wrapText="1"/>
      <protection/>
    </xf>
    <xf numFmtId="0" fontId="3" fillId="0" borderId="30" xfId="100" applyFont="1" applyFill="1" applyBorder="1" applyAlignment="1">
      <alignment horizontal="center" vertical="center" wrapText="1"/>
      <protection/>
    </xf>
    <xf numFmtId="0" fontId="3" fillId="0" borderId="56" xfId="100" applyFont="1" applyFill="1" applyBorder="1" applyAlignment="1">
      <alignment horizontal="center" vertical="center" wrapText="1"/>
      <protection/>
    </xf>
    <xf numFmtId="0" fontId="3" fillId="0" borderId="40" xfId="100" applyFont="1" applyFill="1" applyBorder="1" applyAlignment="1">
      <alignment horizontal="center" vertical="center" wrapText="1"/>
      <protection/>
    </xf>
    <xf numFmtId="0" fontId="3" fillId="0" borderId="41" xfId="100" applyFont="1" applyFill="1" applyBorder="1" applyAlignment="1">
      <alignment horizontal="center" vertical="center" wrapText="1"/>
      <protection/>
    </xf>
    <xf numFmtId="49" fontId="3" fillId="0" borderId="0" xfId="95" applyNumberFormat="1" applyFont="1" applyFill="1" applyAlignment="1">
      <alignment horizontal="left" vertical="center" wrapText="1"/>
      <protection/>
    </xf>
    <xf numFmtId="0" fontId="3" fillId="0" borderId="0" xfId="95" applyFont="1" applyFill="1" applyAlignment="1">
      <alignment horizontal="left" vertical="top" wrapText="1"/>
      <protection/>
    </xf>
    <xf numFmtId="0" fontId="16" fillId="0" borderId="0" xfId="95" applyFont="1" applyFill="1" applyBorder="1" applyAlignment="1">
      <alignment horizontal="center" vertical="center" wrapText="1"/>
      <protection/>
    </xf>
    <xf numFmtId="0" fontId="13" fillId="0" borderId="0" xfId="95" applyFont="1" applyFill="1" applyAlignment="1">
      <alignment horizontal="center"/>
      <protection/>
    </xf>
    <xf numFmtId="49" fontId="9" fillId="0" borderId="43" xfId="95" applyNumberFormat="1" applyFont="1" applyFill="1" applyBorder="1" applyAlignment="1">
      <alignment horizontal="center" vertical="center" wrapText="1"/>
      <protection/>
    </xf>
    <xf numFmtId="49" fontId="9" fillId="0" borderId="24" xfId="95" applyNumberFormat="1" applyFont="1" applyFill="1" applyBorder="1" applyAlignment="1">
      <alignment horizontal="center" vertical="center" wrapText="1"/>
      <protection/>
    </xf>
    <xf numFmtId="0" fontId="10" fillId="0" borderId="27" xfId="95" applyFont="1" applyFill="1" applyBorder="1" applyAlignment="1">
      <alignment horizontal="center" vertical="center" wrapText="1"/>
      <protection/>
    </xf>
    <xf numFmtId="0" fontId="10" fillId="0" borderId="19" xfId="95" applyFont="1" applyFill="1" applyBorder="1" applyAlignment="1">
      <alignment horizontal="center" vertical="center" wrapText="1"/>
      <protection/>
    </xf>
    <xf numFmtId="0" fontId="7" fillId="0" borderId="24" xfId="95" applyFont="1" applyFill="1" applyBorder="1" applyAlignment="1">
      <alignment horizontal="left" vertical="center" wrapText="1"/>
      <protection/>
    </xf>
    <xf numFmtId="0" fontId="7" fillId="0" borderId="19" xfId="95" applyFont="1" applyFill="1" applyBorder="1" applyAlignment="1">
      <alignment horizontal="left" vertical="center" wrapText="1"/>
      <protection/>
    </xf>
    <xf numFmtId="0" fontId="3" fillId="0" borderId="44" xfId="95" applyFont="1" applyFill="1" applyBorder="1" applyAlignment="1">
      <alignment horizontal="center" vertical="center" wrapText="1"/>
      <protection/>
    </xf>
    <xf numFmtId="0" fontId="3" fillId="0" borderId="47" xfId="95" applyFont="1" applyFill="1" applyBorder="1" applyAlignment="1">
      <alignment horizontal="center" vertical="center" wrapText="1"/>
      <protection/>
    </xf>
    <xf numFmtId="0" fontId="3" fillId="0" borderId="46" xfId="95" applyFont="1" applyFill="1" applyBorder="1" applyAlignment="1">
      <alignment horizontal="center" vertical="center" wrapText="1"/>
      <protection/>
    </xf>
    <xf numFmtId="0" fontId="67" fillId="0" borderId="0" xfId="98" applyFont="1" applyFill="1" applyBorder="1" applyAlignment="1">
      <alignment horizontal="center" wrapText="1"/>
      <protection/>
    </xf>
    <xf numFmtId="0" fontId="7" fillId="0" borderId="0" xfId="0" applyFont="1" applyFill="1" applyAlignment="1">
      <alignment horizontal="center" wrapText="1"/>
    </xf>
    <xf numFmtId="0" fontId="7" fillId="0" borderId="0" xfId="95" applyFont="1" applyFill="1" applyBorder="1" applyAlignment="1">
      <alignment horizontal="center" vertical="center" wrapText="1"/>
      <protection/>
    </xf>
    <xf numFmtId="0" fontId="70" fillId="0" borderId="0" xfId="89" applyFont="1" applyFill="1" applyAlignment="1">
      <alignment horizontal="center" vertical="center"/>
      <protection/>
    </xf>
    <xf numFmtId="0" fontId="73" fillId="0" borderId="0" xfId="89" applyFont="1" applyFill="1" applyAlignment="1">
      <alignment horizontal="center" vertical="top"/>
      <protection/>
    </xf>
    <xf numFmtId="49" fontId="8" fillId="0" borderId="0" xfId="95" applyNumberFormat="1" applyFont="1" applyFill="1" applyAlignment="1">
      <alignment horizontal="center" vertical="center"/>
      <protection/>
    </xf>
    <xf numFmtId="0" fontId="3" fillId="0" borderId="57" xfId="100" applyFont="1" applyFill="1" applyBorder="1" applyAlignment="1">
      <alignment vertical="center" wrapText="1"/>
      <protection/>
    </xf>
    <xf numFmtId="49" fontId="11" fillId="0" borderId="19" xfId="95" applyNumberFormat="1" applyFont="1" applyFill="1" applyBorder="1" applyAlignment="1">
      <alignment horizontal="center" vertical="center" wrapText="1"/>
      <protection/>
    </xf>
  </cellXfs>
  <cellStyles count="118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10" xfId="89"/>
    <cellStyle name="Обычный 12 2" xfId="90"/>
    <cellStyle name="Обычный 2" xfId="91"/>
    <cellStyle name="Обычный 2 2" xfId="92"/>
    <cellStyle name="Обычный 2 3" xfId="93"/>
    <cellStyle name="Обычный 3" xfId="94"/>
    <cellStyle name="Обычный 3 2" xfId="95"/>
    <cellStyle name="Обычный 3 2 2 2" xfId="96"/>
    <cellStyle name="Обычный 3 21" xfId="97"/>
    <cellStyle name="Обычный 4" xfId="98"/>
    <cellStyle name="Обычный 4 2" xfId="99"/>
    <cellStyle name="Обычный 5" xfId="100"/>
    <cellStyle name="Обычный 6" xfId="101"/>
    <cellStyle name="Обычный 6 2" xfId="102"/>
    <cellStyle name="Обычный 6 2 2" xfId="103"/>
    <cellStyle name="Обычный 6 2 3" xfId="104"/>
    <cellStyle name="Обычный 7" xfId="105"/>
    <cellStyle name="Обычный 7 2" xfId="106"/>
    <cellStyle name="Обычный 8" xfId="107"/>
    <cellStyle name="Обычный_Форматы по компаниям_last" xfId="108"/>
    <cellStyle name="Followed Hyperlink" xfId="109"/>
    <cellStyle name="Плохой" xfId="110"/>
    <cellStyle name="Плохой 2" xfId="111"/>
    <cellStyle name="Пояснение" xfId="112"/>
    <cellStyle name="Пояснение 2" xfId="113"/>
    <cellStyle name="Примечание" xfId="114"/>
    <cellStyle name="Примечание 2" xfId="115"/>
    <cellStyle name="Percent" xfId="116"/>
    <cellStyle name="Процентный 2" xfId="117"/>
    <cellStyle name="Процентный 3" xfId="118"/>
    <cellStyle name="Связанная ячейка" xfId="119"/>
    <cellStyle name="Связанная ячейка 2" xfId="120"/>
    <cellStyle name="Стиль 1" xfId="121"/>
    <cellStyle name="Текст предупреждения" xfId="122"/>
    <cellStyle name="Текст предупреждения 2" xfId="123"/>
    <cellStyle name="Comma" xfId="124"/>
    <cellStyle name="Comma [0]" xfId="125"/>
    <cellStyle name="Финансовый 2" xfId="126"/>
    <cellStyle name="Финансовый 2 2" xfId="127"/>
    <cellStyle name="Финансовый 2 2 2 2 2" xfId="128"/>
    <cellStyle name="Финансовый 3" xfId="129"/>
    <cellStyle name="Хороший" xfId="130"/>
    <cellStyle name="Хороший 2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BY48"/>
  <sheetViews>
    <sheetView tabSelected="1" view="pageBreakPreview" zoomScale="55" zoomScaleNormal="70" zoomScaleSheetLayoutView="55" zoomScalePageLayoutView="0" workbookViewId="0" topLeftCell="A1">
      <selection activeCell="O11" sqref="O11"/>
    </sheetView>
  </sheetViews>
  <sheetFormatPr defaultColWidth="9.00390625" defaultRowHeight="12.75"/>
  <cols>
    <col min="1" max="1" width="12.125" style="1" customWidth="1"/>
    <col min="2" max="2" width="99.125" style="1" customWidth="1"/>
    <col min="3" max="3" width="15.375" style="1" customWidth="1"/>
    <col min="4" max="4" width="15.25390625" style="1" customWidth="1"/>
    <col min="5" max="6" width="14.625" style="1" customWidth="1"/>
    <col min="7" max="7" width="8.75390625" style="1" customWidth="1"/>
    <col min="8" max="8" width="12.25390625" style="1" customWidth="1"/>
    <col min="9" max="9" width="17.00390625" style="1" customWidth="1"/>
    <col min="10" max="12" width="13.125" style="1" customWidth="1"/>
    <col min="13" max="14" width="15.875" style="1" customWidth="1"/>
    <col min="15" max="16" width="19.00390625" style="1" customWidth="1"/>
    <col min="17" max="17" width="11.875" style="1" customWidth="1"/>
    <col min="18" max="18" width="6.125" style="1" customWidth="1"/>
    <col min="19" max="19" width="10.875" style="1" customWidth="1"/>
    <col min="20" max="20" width="14.00390625" style="1" customWidth="1"/>
    <col min="21" max="21" width="8.00390625" style="28" customWidth="1"/>
    <col min="22" max="23" width="8.75390625" style="28" customWidth="1"/>
    <col min="24" max="24" width="9.375" style="1" customWidth="1"/>
    <col min="25" max="25" width="11.625" style="1" customWidth="1"/>
    <col min="26" max="26" width="8.125" style="1" bestFit="1" customWidth="1"/>
    <col min="27" max="27" width="10.125" style="1" bestFit="1" customWidth="1"/>
    <col min="28" max="28" width="13.125" style="1" bestFit="1" customWidth="1"/>
    <col min="29" max="29" width="13.00390625" style="28" bestFit="1" customWidth="1"/>
    <col min="30" max="30" width="14.375" style="28" bestFit="1" customWidth="1"/>
    <col min="31" max="31" width="7.125" style="28" bestFit="1" customWidth="1"/>
    <col min="32" max="32" width="5.00390625" style="1" bestFit="1" customWidth="1"/>
    <col min="33" max="33" width="8.625" style="1" customWidth="1"/>
    <col min="34" max="34" width="18.75390625" style="1" customWidth="1"/>
    <col min="35" max="35" width="8.625" style="1" customWidth="1"/>
    <col min="36" max="36" width="13.75390625" style="1" customWidth="1"/>
    <col min="37" max="39" width="8.625" style="1" customWidth="1"/>
    <col min="40" max="40" width="7.25390625" style="1" customWidth="1"/>
    <col min="41" max="41" width="10.625" style="1" customWidth="1"/>
    <col min="42" max="42" width="5.00390625" style="1" bestFit="1" customWidth="1"/>
    <col min="43" max="43" width="10.125" style="1" bestFit="1" customWidth="1"/>
    <col min="44" max="44" width="13.125" style="1" bestFit="1" customWidth="1"/>
    <col min="45" max="45" width="8.25390625" style="28" customWidth="1"/>
    <col min="46" max="46" width="9.875" style="28" customWidth="1"/>
    <col min="47" max="47" width="7.125" style="28" bestFit="1" customWidth="1"/>
    <col min="48" max="48" width="5.00390625" style="1" customWidth="1"/>
    <col min="49" max="52" width="9.00390625" style="1" customWidth="1"/>
    <col min="53" max="55" width="9.00390625" style="28" customWidth="1"/>
    <col min="56" max="64" width="10.25390625" style="1" customWidth="1"/>
    <col min="65" max="65" width="39.00390625" style="1" customWidth="1"/>
    <col min="66" max="66" width="10.625" style="1" customWidth="1"/>
    <col min="67" max="71" width="9.125" style="1" customWidth="1"/>
    <col min="72" max="72" width="10.875" style="1" bestFit="1" customWidth="1"/>
    <col min="73" max="16384" width="9.125" style="1" customWidth="1"/>
  </cols>
  <sheetData>
    <row r="1" spans="21:64" ht="18.75">
      <c r="U1" s="1"/>
      <c r="V1" s="1"/>
      <c r="W1" s="1"/>
      <c r="AC1" s="1"/>
      <c r="AD1" s="1"/>
      <c r="AE1" s="1"/>
      <c r="AS1" s="1"/>
      <c r="AT1" s="1"/>
      <c r="AU1" s="1"/>
      <c r="BA1" s="1"/>
      <c r="BB1" s="1"/>
      <c r="BC1" s="1"/>
      <c r="BD1" s="2" t="s">
        <v>21</v>
      </c>
      <c r="BE1" s="2"/>
      <c r="BF1" s="2"/>
      <c r="BG1" s="2"/>
      <c r="BH1" s="2"/>
      <c r="BI1" s="2"/>
      <c r="BJ1" s="2"/>
      <c r="BK1" s="2"/>
      <c r="BL1" s="2"/>
    </row>
    <row r="2" spans="21:64" ht="18.75">
      <c r="U2" s="1"/>
      <c r="V2" s="1"/>
      <c r="W2" s="1"/>
      <c r="AC2" s="1"/>
      <c r="AD2" s="1"/>
      <c r="AE2" s="1"/>
      <c r="AS2" s="1"/>
      <c r="AT2" s="1"/>
      <c r="AU2" s="1"/>
      <c r="BA2" s="1"/>
      <c r="BB2" s="1"/>
      <c r="BC2" s="1"/>
      <c r="BD2" s="3"/>
      <c r="BE2" s="3"/>
      <c r="BF2" s="3"/>
      <c r="BG2" s="3"/>
      <c r="BH2" s="3"/>
      <c r="BI2" s="3"/>
      <c r="BJ2" s="3"/>
      <c r="BK2" s="3"/>
      <c r="BL2" s="3"/>
    </row>
    <row r="3" spans="1:55" ht="18.75">
      <c r="A3" s="268" t="s">
        <v>0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BA3" s="1"/>
      <c r="BB3" s="1"/>
      <c r="BC3" s="1"/>
    </row>
    <row r="4" spans="1:64" ht="18.75">
      <c r="A4" s="269" t="s">
        <v>1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spans="1:64" ht="18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</row>
    <row r="6" spans="1:64" ht="18.75">
      <c r="A6" s="270" t="s">
        <v>199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</row>
    <row r="7" spans="1:64" ht="18.75" customHeight="1">
      <c r="A7" s="271" t="s">
        <v>2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</row>
    <row r="8" spans="5:55" ht="16.5" thickBot="1">
      <c r="E8" s="54"/>
      <c r="F8" s="54"/>
      <c r="O8" s="178"/>
      <c r="P8" s="178"/>
      <c r="U8" s="1"/>
      <c r="V8" s="1"/>
      <c r="W8" s="1"/>
      <c r="AB8" s="54"/>
      <c r="AC8" s="1"/>
      <c r="AD8" s="1"/>
      <c r="AE8" s="1"/>
      <c r="AS8" s="1"/>
      <c r="AT8" s="1"/>
      <c r="AU8" s="1"/>
      <c r="BA8" s="1"/>
      <c r="BB8" s="1"/>
      <c r="BC8" s="1"/>
    </row>
    <row r="9" spans="1:64" ht="34.5" customHeight="1">
      <c r="A9" s="272" t="s">
        <v>3</v>
      </c>
      <c r="B9" s="254" t="s">
        <v>4</v>
      </c>
      <c r="C9" s="254" t="s">
        <v>5</v>
      </c>
      <c r="D9" s="264" t="s">
        <v>6</v>
      </c>
      <c r="E9" s="259" t="s">
        <v>7</v>
      </c>
      <c r="F9" s="260"/>
      <c r="G9" s="274" t="s">
        <v>8</v>
      </c>
      <c r="H9" s="275"/>
      <c r="I9" s="275"/>
      <c r="J9" s="275"/>
      <c r="K9" s="275"/>
      <c r="L9" s="276"/>
      <c r="M9" s="259" t="s">
        <v>9</v>
      </c>
      <c r="N9" s="260"/>
      <c r="O9" s="259" t="s">
        <v>10</v>
      </c>
      <c r="P9" s="260"/>
      <c r="Q9" s="254" t="s">
        <v>192</v>
      </c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4"/>
      <c r="AS9" s="254"/>
      <c r="AT9" s="254"/>
      <c r="AU9" s="254"/>
      <c r="AV9" s="254"/>
      <c r="AW9" s="254"/>
      <c r="AX9" s="254"/>
      <c r="AY9" s="254"/>
      <c r="AZ9" s="254"/>
      <c r="BA9" s="254"/>
      <c r="BB9" s="254"/>
      <c r="BC9" s="254"/>
      <c r="BD9" s="254"/>
      <c r="BE9" s="254"/>
      <c r="BF9" s="254"/>
      <c r="BG9" s="254"/>
      <c r="BH9" s="254"/>
      <c r="BI9" s="254"/>
      <c r="BJ9" s="254"/>
      <c r="BK9" s="254"/>
      <c r="BL9" s="267"/>
    </row>
    <row r="10" spans="1:64" ht="63.75" customHeight="1">
      <c r="A10" s="273"/>
      <c r="B10" s="252"/>
      <c r="C10" s="252"/>
      <c r="D10" s="265"/>
      <c r="E10" s="261"/>
      <c r="F10" s="262"/>
      <c r="G10" s="252" t="s">
        <v>27</v>
      </c>
      <c r="H10" s="252"/>
      <c r="I10" s="252"/>
      <c r="J10" s="252" t="s">
        <v>190</v>
      </c>
      <c r="K10" s="252"/>
      <c r="L10" s="252"/>
      <c r="M10" s="261"/>
      <c r="N10" s="262"/>
      <c r="O10" s="261"/>
      <c r="P10" s="262"/>
      <c r="Q10" s="256" t="s">
        <v>146</v>
      </c>
      <c r="R10" s="257"/>
      <c r="S10" s="257"/>
      <c r="T10" s="257"/>
      <c r="U10" s="257"/>
      <c r="V10" s="257"/>
      <c r="W10" s="257"/>
      <c r="X10" s="258"/>
      <c r="Y10" s="256" t="s">
        <v>113</v>
      </c>
      <c r="Z10" s="257"/>
      <c r="AA10" s="257"/>
      <c r="AB10" s="257"/>
      <c r="AC10" s="257"/>
      <c r="AD10" s="257"/>
      <c r="AE10" s="257"/>
      <c r="AF10" s="258"/>
      <c r="AG10" s="252" t="s">
        <v>193</v>
      </c>
      <c r="AH10" s="252"/>
      <c r="AI10" s="252"/>
      <c r="AJ10" s="252"/>
      <c r="AK10" s="252"/>
      <c r="AL10" s="252"/>
      <c r="AM10" s="252"/>
      <c r="AN10" s="252"/>
      <c r="AO10" s="256" t="s">
        <v>147</v>
      </c>
      <c r="AP10" s="257"/>
      <c r="AQ10" s="257"/>
      <c r="AR10" s="257"/>
      <c r="AS10" s="257"/>
      <c r="AT10" s="257"/>
      <c r="AU10" s="257"/>
      <c r="AV10" s="258"/>
      <c r="AW10" s="256" t="s">
        <v>12</v>
      </c>
      <c r="AX10" s="257"/>
      <c r="AY10" s="257"/>
      <c r="AZ10" s="257"/>
      <c r="BA10" s="257"/>
      <c r="BB10" s="257"/>
      <c r="BC10" s="257"/>
      <c r="BD10" s="257"/>
      <c r="BE10" s="252" t="s">
        <v>194</v>
      </c>
      <c r="BF10" s="252"/>
      <c r="BG10" s="252"/>
      <c r="BH10" s="252"/>
      <c r="BI10" s="252"/>
      <c r="BJ10" s="252"/>
      <c r="BK10" s="252"/>
      <c r="BL10" s="266"/>
    </row>
    <row r="11" spans="1:64" ht="203.25" customHeight="1">
      <c r="A11" s="273"/>
      <c r="B11" s="252"/>
      <c r="C11" s="252"/>
      <c r="D11" s="265"/>
      <c r="E11" s="6" t="s">
        <v>189</v>
      </c>
      <c r="F11" s="197" t="s">
        <v>200</v>
      </c>
      <c r="G11" s="7" t="s">
        <v>14</v>
      </c>
      <c r="H11" s="7" t="s">
        <v>15</v>
      </c>
      <c r="I11" s="7" t="s">
        <v>16</v>
      </c>
      <c r="J11" s="7" t="s">
        <v>14</v>
      </c>
      <c r="K11" s="7" t="s">
        <v>15</v>
      </c>
      <c r="L11" s="7" t="s">
        <v>16</v>
      </c>
      <c r="M11" s="198" t="s">
        <v>11</v>
      </c>
      <c r="N11" s="198" t="s">
        <v>191</v>
      </c>
      <c r="O11" s="7" t="s">
        <v>188</v>
      </c>
      <c r="P11" s="241" t="s">
        <v>198</v>
      </c>
      <c r="Q11" s="7" t="s">
        <v>17</v>
      </c>
      <c r="R11" s="7" t="s">
        <v>18</v>
      </c>
      <c r="S11" s="7" t="s">
        <v>19</v>
      </c>
      <c r="T11" s="8" t="s">
        <v>140</v>
      </c>
      <c r="U11" s="8" t="s">
        <v>138</v>
      </c>
      <c r="V11" s="8" t="s">
        <v>139</v>
      </c>
      <c r="W11" s="8" t="s">
        <v>142</v>
      </c>
      <c r="X11" s="8" t="s">
        <v>20</v>
      </c>
      <c r="Y11" s="7" t="s">
        <v>17</v>
      </c>
      <c r="Z11" s="7" t="s">
        <v>18</v>
      </c>
      <c r="AA11" s="7" t="s">
        <v>19</v>
      </c>
      <c r="AB11" s="8" t="s">
        <v>140</v>
      </c>
      <c r="AC11" s="8" t="s">
        <v>138</v>
      </c>
      <c r="AD11" s="8" t="s">
        <v>139</v>
      </c>
      <c r="AE11" s="8" t="s">
        <v>142</v>
      </c>
      <c r="AF11" s="8" t="s">
        <v>20</v>
      </c>
      <c r="AG11" s="7" t="s">
        <v>17</v>
      </c>
      <c r="AH11" s="7" t="s">
        <v>18</v>
      </c>
      <c r="AI11" s="7" t="s">
        <v>19</v>
      </c>
      <c r="AJ11" s="8" t="s">
        <v>140</v>
      </c>
      <c r="AK11" s="8" t="s">
        <v>138</v>
      </c>
      <c r="AL11" s="8" t="s">
        <v>139</v>
      </c>
      <c r="AM11" s="8" t="s">
        <v>142</v>
      </c>
      <c r="AN11" s="8" t="s">
        <v>20</v>
      </c>
      <c r="AO11" s="7" t="s">
        <v>17</v>
      </c>
      <c r="AP11" s="7" t="s">
        <v>18</v>
      </c>
      <c r="AQ11" s="7" t="s">
        <v>19</v>
      </c>
      <c r="AR11" s="8" t="s">
        <v>140</v>
      </c>
      <c r="AS11" s="8" t="s">
        <v>138</v>
      </c>
      <c r="AT11" s="8" t="s">
        <v>139</v>
      </c>
      <c r="AU11" s="8" t="s">
        <v>142</v>
      </c>
      <c r="AV11" s="8" t="s">
        <v>20</v>
      </c>
      <c r="AW11" s="7" t="s">
        <v>17</v>
      </c>
      <c r="AX11" s="7" t="s">
        <v>18</v>
      </c>
      <c r="AY11" s="7" t="s">
        <v>19</v>
      </c>
      <c r="AZ11" s="8" t="s">
        <v>140</v>
      </c>
      <c r="BA11" s="8" t="s">
        <v>138</v>
      </c>
      <c r="BB11" s="8" t="s">
        <v>139</v>
      </c>
      <c r="BC11" s="8" t="s">
        <v>142</v>
      </c>
      <c r="BD11" s="199" t="s">
        <v>20</v>
      </c>
      <c r="BE11" s="7" t="s">
        <v>17</v>
      </c>
      <c r="BF11" s="7" t="s">
        <v>18</v>
      </c>
      <c r="BG11" s="7" t="s">
        <v>19</v>
      </c>
      <c r="BH11" s="7" t="s">
        <v>140</v>
      </c>
      <c r="BI11" s="7" t="s">
        <v>138</v>
      </c>
      <c r="BJ11" s="7" t="s">
        <v>139</v>
      </c>
      <c r="BK11" s="7" t="s">
        <v>142</v>
      </c>
      <c r="BL11" s="73" t="s">
        <v>20</v>
      </c>
    </row>
    <row r="12" spans="1:64" ht="19.5" customHeight="1">
      <c r="A12" s="65">
        <v>1</v>
      </c>
      <c r="B12" s="6">
        <f>A12+1</f>
        <v>2</v>
      </c>
      <c r="C12" s="6">
        <f aca="true" t="shared" si="0" ref="C12:BL12">B12+1</f>
        <v>3</v>
      </c>
      <c r="D12" s="6">
        <f t="shared" si="0"/>
        <v>4</v>
      </c>
      <c r="E12" s="6">
        <f t="shared" si="0"/>
        <v>5</v>
      </c>
      <c r="F12" s="6">
        <f t="shared" si="0"/>
        <v>6</v>
      </c>
      <c r="G12" s="6">
        <f t="shared" si="0"/>
        <v>7</v>
      </c>
      <c r="H12" s="6">
        <f t="shared" si="0"/>
        <v>8</v>
      </c>
      <c r="I12" s="6">
        <f t="shared" si="0"/>
        <v>9</v>
      </c>
      <c r="J12" s="6">
        <f t="shared" si="0"/>
        <v>10</v>
      </c>
      <c r="K12" s="6">
        <f t="shared" si="0"/>
        <v>11</v>
      </c>
      <c r="L12" s="6">
        <f t="shared" si="0"/>
        <v>12</v>
      </c>
      <c r="M12" s="6">
        <f t="shared" si="0"/>
        <v>13</v>
      </c>
      <c r="N12" s="6">
        <f t="shared" si="0"/>
        <v>14</v>
      </c>
      <c r="O12" s="6">
        <f t="shared" si="0"/>
        <v>15</v>
      </c>
      <c r="P12" s="6">
        <f t="shared" si="0"/>
        <v>16</v>
      </c>
      <c r="Q12" s="6">
        <f t="shared" si="0"/>
        <v>17</v>
      </c>
      <c r="R12" s="6">
        <f t="shared" si="0"/>
        <v>18</v>
      </c>
      <c r="S12" s="6">
        <f t="shared" si="0"/>
        <v>19</v>
      </c>
      <c r="T12" s="6">
        <f t="shared" si="0"/>
        <v>20</v>
      </c>
      <c r="U12" s="6">
        <f t="shared" si="0"/>
        <v>21</v>
      </c>
      <c r="V12" s="6">
        <f t="shared" si="0"/>
        <v>22</v>
      </c>
      <c r="W12" s="6">
        <f t="shared" si="0"/>
        <v>23</v>
      </c>
      <c r="X12" s="6">
        <f t="shared" si="0"/>
        <v>24</v>
      </c>
      <c r="Y12" s="6">
        <f t="shared" si="0"/>
        <v>25</v>
      </c>
      <c r="Z12" s="6">
        <f t="shared" si="0"/>
        <v>26</v>
      </c>
      <c r="AA12" s="6">
        <f t="shared" si="0"/>
        <v>27</v>
      </c>
      <c r="AB12" s="6">
        <f t="shared" si="0"/>
        <v>28</v>
      </c>
      <c r="AC12" s="6">
        <f t="shared" si="0"/>
        <v>29</v>
      </c>
      <c r="AD12" s="6">
        <f t="shared" si="0"/>
        <v>30</v>
      </c>
      <c r="AE12" s="6">
        <f t="shared" si="0"/>
        <v>31</v>
      </c>
      <c r="AF12" s="6">
        <f t="shared" si="0"/>
        <v>32</v>
      </c>
      <c r="AG12" s="6">
        <f t="shared" si="0"/>
        <v>33</v>
      </c>
      <c r="AH12" s="6">
        <f t="shared" si="0"/>
        <v>34</v>
      </c>
      <c r="AI12" s="6">
        <f t="shared" si="0"/>
        <v>35</v>
      </c>
      <c r="AJ12" s="6">
        <f t="shared" si="0"/>
        <v>36</v>
      </c>
      <c r="AK12" s="6">
        <f t="shared" si="0"/>
        <v>37</v>
      </c>
      <c r="AL12" s="6">
        <f t="shared" si="0"/>
        <v>38</v>
      </c>
      <c r="AM12" s="6">
        <f t="shared" si="0"/>
        <v>39</v>
      </c>
      <c r="AN12" s="6">
        <f t="shared" si="0"/>
        <v>40</v>
      </c>
      <c r="AO12" s="6">
        <f t="shared" si="0"/>
        <v>41</v>
      </c>
      <c r="AP12" s="6">
        <f t="shared" si="0"/>
        <v>42</v>
      </c>
      <c r="AQ12" s="6">
        <f t="shared" si="0"/>
        <v>43</v>
      </c>
      <c r="AR12" s="6">
        <f t="shared" si="0"/>
        <v>44</v>
      </c>
      <c r="AS12" s="6">
        <f t="shared" si="0"/>
        <v>45</v>
      </c>
      <c r="AT12" s="6">
        <f t="shared" si="0"/>
        <v>46</v>
      </c>
      <c r="AU12" s="6">
        <f t="shared" si="0"/>
        <v>47</v>
      </c>
      <c r="AV12" s="6">
        <f t="shared" si="0"/>
        <v>48</v>
      </c>
      <c r="AW12" s="6">
        <f t="shared" si="0"/>
        <v>49</v>
      </c>
      <c r="AX12" s="6">
        <f t="shared" si="0"/>
        <v>50</v>
      </c>
      <c r="AY12" s="6">
        <f t="shared" si="0"/>
        <v>51</v>
      </c>
      <c r="AZ12" s="6">
        <f t="shared" si="0"/>
        <v>52</v>
      </c>
      <c r="BA12" s="6">
        <f t="shared" si="0"/>
        <v>53</v>
      </c>
      <c r="BB12" s="6">
        <f t="shared" si="0"/>
        <v>54</v>
      </c>
      <c r="BC12" s="6">
        <f t="shared" si="0"/>
        <v>55</v>
      </c>
      <c r="BD12" s="6">
        <f t="shared" si="0"/>
        <v>56</v>
      </c>
      <c r="BE12" s="6">
        <f t="shared" si="0"/>
        <v>57</v>
      </c>
      <c r="BF12" s="6">
        <f t="shared" si="0"/>
        <v>58</v>
      </c>
      <c r="BG12" s="6">
        <f t="shared" si="0"/>
        <v>59</v>
      </c>
      <c r="BH12" s="6">
        <f t="shared" si="0"/>
        <v>60</v>
      </c>
      <c r="BI12" s="6">
        <f t="shared" si="0"/>
        <v>61</v>
      </c>
      <c r="BJ12" s="6">
        <f t="shared" si="0"/>
        <v>62</v>
      </c>
      <c r="BK12" s="6">
        <f t="shared" si="0"/>
        <v>63</v>
      </c>
      <c r="BL12" s="6">
        <f t="shared" si="0"/>
        <v>64</v>
      </c>
    </row>
    <row r="13" spans="1:65" s="34" customFormat="1" ht="15.75">
      <c r="A13" s="66" t="s">
        <v>129</v>
      </c>
      <c r="B13" s="42" t="s">
        <v>105</v>
      </c>
      <c r="C13" s="35"/>
      <c r="D13" s="136"/>
      <c r="E13" s="136"/>
      <c r="F13" s="136"/>
      <c r="G13" s="132"/>
      <c r="H13" s="36"/>
      <c r="I13" s="59"/>
      <c r="J13" s="59"/>
      <c r="K13" s="59"/>
      <c r="L13" s="59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201"/>
      <c r="BE13" s="36"/>
      <c r="BF13" s="36"/>
      <c r="BG13" s="36"/>
      <c r="BH13" s="36"/>
      <c r="BI13" s="36"/>
      <c r="BJ13" s="36"/>
      <c r="BK13" s="36"/>
      <c r="BL13" s="137"/>
      <c r="BM13" s="1"/>
    </row>
    <row r="14" spans="1:77" ht="15.75">
      <c r="A14" s="67" t="s">
        <v>107</v>
      </c>
      <c r="B14" s="37" t="s">
        <v>166</v>
      </c>
      <c r="C14" s="35" t="s">
        <v>170</v>
      </c>
      <c r="D14" s="40">
        <v>2022</v>
      </c>
      <c r="E14" s="40">
        <v>2022</v>
      </c>
      <c r="F14" s="40"/>
      <c r="G14" s="36"/>
      <c r="H14" s="36">
        <v>0.234</v>
      </c>
      <c r="I14" s="59">
        <v>44300</v>
      </c>
      <c r="J14" s="59"/>
      <c r="K14" s="36"/>
      <c r="L14" s="59"/>
      <c r="M14" s="36">
        <f>H14*1.04</f>
        <v>0.24336000000000002</v>
      </c>
      <c r="N14" s="36"/>
      <c r="O14" s="36">
        <f>M14</f>
        <v>0.24336000000000002</v>
      </c>
      <c r="P14" s="36"/>
      <c r="Q14" s="160">
        <f>SUM(R14:T14)+X14</f>
        <v>0</v>
      </c>
      <c r="R14" s="160"/>
      <c r="S14" s="160"/>
      <c r="T14" s="160">
        <f>SUM(U14:W14)</f>
        <v>0</v>
      </c>
      <c r="U14" s="160"/>
      <c r="V14" s="160"/>
      <c r="W14" s="160"/>
      <c r="X14" s="160"/>
      <c r="Y14" s="36">
        <f>SUM(Z14:AB14)+AF14</f>
        <v>0.24336000000000002</v>
      </c>
      <c r="Z14" s="36"/>
      <c r="AA14" s="36"/>
      <c r="AB14" s="36">
        <f>O14</f>
        <v>0.24336000000000002</v>
      </c>
      <c r="AC14" s="36">
        <v>0.2028</v>
      </c>
      <c r="AD14" s="36">
        <f>AB14-AC14-AE14</f>
        <v>0</v>
      </c>
      <c r="AE14" s="36">
        <f>O14/1.2*0.2</f>
        <v>0.04056000000000001</v>
      </c>
      <c r="AF14" s="36"/>
      <c r="AG14" s="36"/>
      <c r="AH14" s="36"/>
      <c r="AI14" s="36"/>
      <c r="AJ14" s="36"/>
      <c r="AK14" s="36"/>
      <c r="AL14" s="36"/>
      <c r="AM14" s="36"/>
      <c r="AN14" s="36"/>
      <c r="AO14" s="36">
        <f>SUM(AP14:AR14)+AV14</f>
        <v>0</v>
      </c>
      <c r="AP14" s="36"/>
      <c r="AQ14" s="36"/>
      <c r="AR14" s="36">
        <f>SUM(AS14:AU14)</f>
        <v>0</v>
      </c>
      <c r="AS14" s="36"/>
      <c r="AT14" s="36"/>
      <c r="AU14" s="36"/>
      <c r="AV14" s="36"/>
      <c r="AW14" s="36">
        <f>SUM(AX14:AZ14)+BD14</f>
        <v>0.24336000000000002</v>
      </c>
      <c r="AX14" s="36"/>
      <c r="AY14" s="36"/>
      <c r="AZ14" s="36">
        <f>SUM(BA14:BC14)</f>
        <v>0.24336000000000002</v>
      </c>
      <c r="BA14" s="36">
        <f aca="true" t="shared" si="1" ref="BA14:BC18">U14+AC14+AS14</f>
        <v>0.2028</v>
      </c>
      <c r="BB14" s="36">
        <f t="shared" si="1"/>
        <v>0</v>
      </c>
      <c r="BC14" s="36">
        <f t="shared" si="1"/>
        <v>0.04056000000000001</v>
      </c>
      <c r="BD14" s="202"/>
      <c r="BE14" s="36">
        <f>SUM(BF14:BH14)+BL14</f>
        <v>0</v>
      </c>
      <c r="BF14" s="36"/>
      <c r="BG14" s="36"/>
      <c r="BH14" s="36">
        <f>SUM(BI14:BK14)</f>
        <v>0</v>
      </c>
      <c r="BI14" s="36">
        <f aca="true" t="shared" si="2" ref="BI14:BK18">U14+AK14+AS14</f>
        <v>0</v>
      </c>
      <c r="BJ14" s="36">
        <f t="shared" si="2"/>
        <v>0</v>
      </c>
      <c r="BK14" s="36">
        <f t="shared" si="2"/>
        <v>0</v>
      </c>
      <c r="BL14" s="161"/>
      <c r="BN14" s="144">
        <f>M14-Y14-AO14-Q14</f>
        <v>0</v>
      </c>
      <c r="BO14" s="144">
        <f>AW14-AZ14</f>
        <v>0</v>
      </c>
      <c r="BP14" s="144">
        <f>AZ14-BA14-BB14-BC14</f>
        <v>0</v>
      </c>
      <c r="BQ14" s="144">
        <f>Q14-R14-S14-T14</f>
        <v>0</v>
      </c>
      <c r="BR14" s="144">
        <f>T14-U14-V14-W14-X14</f>
        <v>0</v>
      </c>
      <c r="BS14" s="144">
        <f>Y14-Z14-AA14-AB14</f>
        <v>0</v>
      </c>
      <c r="BT14" s="144">
        <f>AB14-AC14-AD14-AE14-AF14</f>
        <v>0</v>
      </c>
      <c r="BU14" s="144">
        <f>AO14-AP14-AQ14-AR14</f>
        <v>0</v>
      </c>
      <c r="BV14" s="144">
        <f>AB14-AC14-AD14-AE14-AF14</f>
        <v>0</v>
      </c>
      <c r="BW14" s="144">
        <f>AO14-AP14-AQ14-AR14</f>
        <v>0</v>
      </c>
      <c r="BX14" s="144">
        <f>AR14-AS14-AT14-AU14-AV14</f>
        <v>0</v>
      </c>
      <c r="BY14" s="144">
        <f>AW14-AX14-AY14-AZ14</f>
        <v>0</v>
      </c>
    </row>
    <row r="15" spans="1:77" ht="15.75">
      <c r="A15" s="67" t="s">
        <v>157</v>
      </c>
      <c r="B15" s="37" t="s">
        <v>167</v>
      </c>
      <c r="C15" s="35" t="s">
        <v>171</v>
      </c>
      <c r="D15" s="40">
        <v>2022</v>
      </c>
      <c r="E15" s="40">
        <v>2022</v>
      </c>
      <c r="F15" s="40"/>
      <c r="G15" s="36"/>
      <c r="H15" s="36">
        <v>0.288</v>
      </c>
      <c r="I15" s="59">
        <v>44300</v>
      </c>
      <c r="J15" s="59"/>
      <c r="K15" s="36"/>
      <c r="L15" s="59"/>
      <c r="M15" s="36">
        <f>H15*1.04</f>
        <v>0.29952</v>
      </c>
      <c r="N15" s="36"/>
      <c r="O15" s="36">
        <f>M15</f>
        <v>0.29952</v>
      </c>
      <c r="P15" s="36"/>
      <c r="Q15" s="160">
        <f>SUM(R15:T15)+X15</f>
        <v>0</v>
      </c>
      <c r="R15" s="160"/>
      <c r="S15" s="160"/>
      <c r="T15" s="160">
        <f>SUM(U15:W15)</f>
        <v>0</v>
      </c>
      <c r="U15" s="160"/>
      <c r="V15" s="160"/>
      <c r="W15" s="160"/>
      <c r="X15" s="160"/>
      <c r="Y15" s="36">
        <f>SUM(Z15:AB15)+AF15</f>
        <v>0.29952</v>
      </c>
      <c r="Z15" s="36"/>
      <c r="AA15" s="36"/>
      <c r="AB15" s="36">
        <f>O15</f>
        <v>0.29952</v>
      </c>
      <c r="AC15" s="36">
        <v>0.2496</v>
      </c>
      <c r="AD15" s="36">
        <f>AB15-AC15-AE15</f>
        <v>0</v>
      </c>
      <c r="AE15" s="36">
        <f>O15/1.2*0.2</f>
        <v>0.049920000000000006</v>
      </c>
      <c r="AF15" s="36"/>
      <c r="AG15" s="36"/>
      <c r="AH15" s="36"/>
      <c r="AI15" s="36"/>
      <c r="AJ15" s="36"/>
      <c r="AK15" s="36"/>
      <c r="AL15" s="36"/>
      <c r="AM15" s="36"/>
      <c r="AN15" s="36"/>
      <c r="AO15" s="36">
        <f>SUM(AP15:AR15)+AV15</f>
        <v>0</v>
      </c>
      <c r="AP15" s="36"/>
      <c r="AQ15" s="36"/>
      <c r="AR15" s="36">
        <f>SUM(AS15:AU15)</f>
        <v>0</v>
      </c>
      <c r="AS15" s="36"/>
      <c r="AT15" s="36"/>
      <c r="AU15" s="36"/>
      <c r="AV15" s="36"/>
      <c r="AW15" s="36">
        <f>SUM(AX15:AZ15)+BD15</f>
        <v>0.29952</v>
      </c>
      <c r="AX15" s="36"/>
      <c r="AY15" s="36"/>
      <c r="AZ15" s="36">
        <f>SUM(BA15:BC15)</f>
        <v>0.29952</v>
      </c>
      <c r="BA15" s="36">
        <f t="shared" si="1"/>
        <v>0.2496</v>
      </c>
      <c r="BB15" s="36">
        <f t="shared" si="1"/>
        <v>0</v>
      </c>
      <c r="BC15" s="36">
        <f t="shared" si="1"/>
        <v>0.049920000000000006</v>
      </c>
      <c r="BD15" s="202"/>
      <c r="BE15" s="36">
        <f>SUM(BF15:BH15)+BL15</f>
        <v>0</v>
      </c>
      <c r="BF15" s="36"/>
      <c r="BG15" s="36"/>
      <c r="BH15" s="36">
        <f>SUM(BI15:BK15)</f>
        <v>0</v>
      </c>
      <c r="BI15" s="36">
        <f t="shared" si="2"/>
        <v>0</v>
      </c>
      <c r="BJ15" s="36">
        <f t="shared" si="2"/>
        <v>0</v>
      </c>
      <c r="BK15" s="36">
        <f t="shared" si="2"/>
        <v>0</v>
      </c>
      <c r="BL15" s="161"/>
      <c r="BN15" s="144">
        <f>M15-Y15-AO15-Q15</f>
        <v>0</v>
      </c>
      <c r="BO15" s="144">
        <f aca="true" t="shared" si="3" ref="BO15:BO32">AW15-AZ15</f>
        <v>0</v>
      </c>
      <c r="BP15" s="144">
        <f aca="true" t="shared" si="4" ref="BP15:BP32">AZ15-BA15-BB15-BC15</f>
        <v>0</v>
      </c>
      <c r="BQ15" s="144">
        <f>Q15-R15-S15-T15</f>
        <v>0</v>
      </c>
      <c r="BR15" s="144">
        <f>T15-U15-V15-W15-X15</f>
        <v>0</v>
      </c>
      <c r="BS15" s="144">
        <f>Y15-Z15-AA15-AB15</f>
        <v>0</v>
      </c>
      <c r="BT15" s="144">
        <f>AB15-AC15-AD15-AE15-AF15</f>
        <v>1.3877787807814457E-17</v>
      </c>
      <c r="BU15" s="144">
        <f aca="true" t="shared" si="5" ref="BU15:BU32">AO15-AP15-AQ15-AR15</f>
        <v>0</v>
      </c>
      <c r="BV15" s="144">
        <f>AB15-AC15-AD15-AE15-AF15</f>
        <v>1.3877787807814457E-17</v>
      </c>
      <c r="BW15" s="144">
        <f aca="true" t="shared" si="6" ref="BW15:BW32">AO15-AP15-AQ15-AR15</f>
        <v>0</v>
      </c>
      <c r="BX15" s="144">
        <f aca="true" t="shared" si="7" ref="BX15:BX32">AR15-AS15-AT15-AU15-AV15</f>
        <v>0</v>
      </c>
      <c r="BY15" s="144">
        <f aca="true" t="shared" si="8" ref="BY15:BY32">AW15-AX15-AY15-AZ15</f>
        <v>0</v>
      </c>
    </row>
    <row r="16" spans="1:77" ht="15.75">
      <c r="A16" s="67" t="s">
        <v>158</v>
      </c>
      <c r="B16" s="122" t="s">
        <v>168</v>
      </c>
      <c r="C16" s="35" t="s">
        <v>172</v>
      </c>
      <c r="D16" s="126">
        <v>2023</v>
      </c>
      <c r="E16" s="126">
        <v>2023</v>
      </c>
      <c r="F16" s="40">
        <v>2023</v>
      </c>
      <c r="G16" s="36"/>
      <c r="H16" s="36">
        <v>1.188</v>
      </c>
      <c r="I16" s="59">
        <v>44300</v>
      </c>
      <c r="J16" s="59"/>
      <c r="K16" s="36">
        <f>H16</f>
        <v>1.188</v>
      </c>
      <c r="L16" s="59">
        <v>44300</v>
      </c>
      <c r="M16" s="36">
        <f>H16*1.04*1.04</f>
        <v>1.2849408</v>
      </c>
      <c r="N16" s="36">
        <f aca="true" t="shared" si="9" ref="N16:N28">Q16+AG16+AO16</f>
        <v>1.2849408</v>
      </c>
      <c r="O16" s="36">
        <f>M16</f>
        <v>1.2849408</v>
      </c>
      <c r="P16" s="36">
        <f>AG16+AO16</f>
        <v>1.2849408</v>
      </c>
      <c r="Q16" s="160">
        <f>SUM(R16:T16)+X16</f>
        <v>0</v>
      </c>
      <c r="R16" s="160"/>
      <c r="S16" s="160"/>
      <c r="T16" s="160">
        <f>SUM(U16:W16)</f>
        <v>0</v>
      </c>
      <c r="U16" s="160"/>
      <c r="V16" s="160"/>
      <c r="W16" s="160"/>
      <c r="X16" s="160"/>
      <c r="Y16" s="36">
        <f>SUM(Z16:AB16)+AF16</f>
        <v>0</v>
      </c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>
        <f>SUM(AP16:AR16)+AV16</f>
        <v>1.2849408</v>
      </c>
      <c r="AP16" s="36"/>
      <c r="AQ16" s="36"/>
      <c r="AR16" s="36">
        <f>O16</f>
        <v>1.2849408</v>
      </c>
      <c r="AS16" s="36">
        <v>1.070784</v>
      </c>
      <c r="AT16" s="36">
        <f>AR16-AS16-AU16</f>
        <v>0</v>
      </c>
      <c r="AU16" s="36">
        <f>O16/1.2*0.2</f>
        <v>0.2141568</v>
      </c>
      <c r="AV16" s="36"/>
      <c r="AW16" s="36">
        <f>SUM(AX16:AZ16)+BD16</f>
        <v>1.2849408</v>
      </c>
      <c r="AX16" s="36"/>
      <c r="AY16" s="36"/>
      <c r="AZ16" s="36">
        <f>SUM(BA16:BC16)</f>
        <v>1.2849408</v>
      </c>
      <c r="BA16" s="36">
        <f t="shared" si="1"/>
        <v>1.070784</v>
      </c>
      <c r="BB16" s="36">
        <f t="shared" si="1"/>
        <v>0</v>
      </c>
      <c r="BC16" s="36">
        <f t="shared" si="1"/>
        <v>0.2141568</v>
      </c>
      <c r="BD16" s="202"/>
      <c r="BE16" s="36">
        <f>SUM(BF16:BH16)+BL16</f>
        <v>1.2849408</v>
      </c>
      <c r="BF16" s="36"/>
      <c r="BG16" s="36"/>
      <c r="BH16" s="36">
        <f>SUM(BI16:BK16)</f>
        <v>1.2849408</v>
      </c>
      <c r="BI16" s="36">
        <f t="shared" si="2"/>
        <v>1.070784</v>
      </c>
      <c r="BJ16" s="36">
        <f t="shared" si="2"/>
        <v>0</v>
      </c>
      <c r="BK16" s="36">
        <f t="shared" si="2"/>
        <v>0.2141568</v>
      </c>
      <c r="BL16" s="161"/>
      <c r="BN16" s="144">
        <f>M16-Y16-AO16-Q16</f>
        <v>0</v>
      </c>
      <c r="BO16" s="144">
        <f t="shared" si="3"/>
        <v>0</v>
      </c>
      <c r="BP16" s="144">
        <f t="shared" si="4"/>
        <v>0</v>
      </c>
      <c r="BQ16" s="144">
        <f>Q16-R16-S16-T16</f>
        <v>0</v>
      </c>
      <c r="BR16" s="144">
        <f>T16-U16-V16-W16-X16</f>
        <v>0</v>
      </c>
      <c r="BS16" s="144">
        <f>Y16-Z16-AA16-AB16</f>
        <v>0</v>
      </c>
      <c r="BT16" s="144">
        <f>AB16-AC16-AD16-AE16-AF16</f>
        <v>0</v>
      </c>
      <c r="BU16" s="144">
        <f t="shared" si="5"/>
        <v>0</v>
      </c>
      <c r="BV16" s="144">
        <f>AB16-AC16-AD16-AE16-AF16</f>
        <v>0</v>
      </c>
      <c r="BW16" s="144">
        <f t="shared" si="6"/>
        <v>0</v>
      </c>
      <c r="BX16" s="144">
        <f t="shared" si="7"/>
        <v>2.7755575615628914E-17</v>
      </c>
      <c r="BY16" s="144">
        <f t="shared" si="8"/>
        <v>0</v>
      </c>
    </row>
    <row r="17" spans="1:77" ht="15.75">
      <c r="A17" s="67" t="s">
        <v>159</v>
      </c>
      <c r="B17" s="122" t="s">
        <v>160</v>
      </c>
      <c r="C17" s="125" t="s">
        <v>173</v>
      </c>
      <c r="D17" s="126">
        <v>2022</v>
      </c>
      <c r="E17" s="126">
        <v>2023</v>
      </c>
      <c r="F17" s="40">
        <v>2023</v>
      </c>
      <c r="G17" s="36"/>
      <c r="H17" s="36">
        <f>0.888+0.864+0.864</f>
        <v>2.616</v>
      </c>
      <c r="I17" s="59">
        <v>44300</v>
      </c>
      <c r="J17" s="59"/>
      <c r="K17" s="36">
        <v>0.888</v>
      </c>
      <c r="L17" s="59">
        <v>44300</v>
      </c>
      <c r="M17" s="36">
        <f>(H17-0.888)*1.04+0.888*1.04*1.04</f>
        <v>2.7575808000000004</v>
      </c>
      <c r="N17" s="245">
        <f t="shared" si="9"/>
        <v>0.9604608</v>
      </c>
      <c r="O17" s="36">
        <f>M17</f>
        <v>2.7575808000000004</v>
      </c>
      <c r="P17" s="36">
        <f>AG17+AO17</f>
        <v>0.9604608</v>
      </c>
      <c r="Q17" s="160">
        <f>SUM(R17:T17)+X17</f>
        <v>0</v>
      </c>
      <c r="R17" s="160"/>
      <c r="S17" s="160"/>
      <c r="T17" s="160">
        <f>SUM(U17:W17)</f>
        <v>0</v>
      </c>
      <c r="U17" s="160"/>
      <c r="V17" s="160"/>
      <c r="W17" s="160"/>
      <c r="X17" s="160"/>
      <c r="Y17" s="36">
        <f>SUM(Z17:AB17)+AF17</f>
        <v>1.79712</v>
      </c>
      <c r="Z17" s="36"/>
      <c r="AA17" s="36"/>
      <c r="AB17" s="36">
        <f>1.728*1.04</f>
        <v>1.79712</v>
      </c>
      <c r="AC17" s="36">
        <v>1.4976</v>
      </c>
      <c r="AD17" s="36">
        <f>AB17-AC17-AE17</f>
        <v>0</v>
      </c>
      <c r="AE17" s="36">
        <f>AB17/1.2*0.2</f>
        <v>0.29952</v>
      </c>
      <c r="AF17" s="36"/>
      <c r="AG17" s="36"/>
      <c r="AH17" s="36"/>
      <c r="AI17" s="36"/>
      <c r="AJ17" s="36"/>
      <c r="AK17" s="36"/>
      <c r="AL17" s="36"/>
      <c r="AM17" s="36"/>
      <c r="AN17" s="36"/>
      <c r="AO17" s="36">
        <f>SUM(AP17:AR17)+AV17</f>
        <v>0.9604608</v>
      </c>
      <c r="AP17" s="36"/>
      <c r="AQ17" s="36"/>
      <c r="AR17" s="36">
        <f>0.888*1.04*1.04</f>
        <v>0.9604608</v>
      </c>
      <c r="AS17" s="36">
        <v>0.800384</v>
      </c>
      <c r="AT17" s="36">
        <f>AR17-AS17-AU17</f>
        <v>0</v>
      </c>
      <c r="AU17" s="36">
        <f>AR17/1.2*0.2</f>
        <v>0.16007680000000002</v>
      </c>
      <c r="AV17" s="36"/>
      <c r="AW17" s="36">
        <f>SUM(AX17:AZ17)+BD17</f>
        <v>2.7575808</v>
      </c>
      <c r="AX17" s="36"/>
      <c r="AY17" s="36"/>
      <c r="AZ17" s="36">
        <f>SUM(BA17:BC17)</f>
        <v>2.7575808</v>
      </c>
      <c r="BA17" s="36">
        <f t="shared" si="1"/>
        <v>2.297984</v>
      </c>
      <c r="BB17" s="36">
        <f t="shared" si="1"/>
        <v>0</v>
      </c>
      <c r="BC17" s="36">
        <f t="shared" si="1"/>
        <v>0.4595968</v>
      </c>
      <c r="BD17" s="202"/>
      <c r="BE17" s="36">
        <f>SUM(BF17:BH17)+BL17</f>
        <v>0.9604608</v>
      </c>
      <c r="BF17" s="36"/>
      <c r="BG17" s="36"/>
      <c r="BH17" s="36">
        <f>SUM(BI17:BK17)</f>
        <v>0.9604608</v>
      </c>
      <c r="BI17" s="36">
        <f t="shared" si="2"/>
        <v>0.800384</v>
      </c>
      <c r="BJ17" s="36">
        <f t="shared" si="2"/>
        <v>0</v>
      </c>
      <c r="BK17" s="36">
        <f t="shared" si="2"/>
        <v>0.16007680000000002</v>
      </c>
      <c r="BL17" s="161"/>
      <c r="BN17" s="144">
        <f>M17-Y17-AO17-Q17</f>
        <v>3.3306690738754696E-16</v>
      </c>
      <c r="BO17" s="144">
        <f t="shared" si="3"/>
        <v>0</v>
      </c>
      <c r="BP17" s="144">
        <f t="shared" si="4"/>
        <v>0</v>
      </c>
      <c r="BQ17" s="144">
        <f>Q17-R17-S17-T17</f>
        <v>0</v>
      </c>
      <c r="BR17" s="144">
        <f>T17-U17-V17-W17-X17</f>
        <v>0</v>
      </c>
      <c r="BS17" s="144">
        <f>Y17-Z17-AA17-AB17</f>
        <v>0</v>
      </c>
      <c r="BT17" s="144">
        <f>AB17-AC17-AD17-AE17-AF17</f>
        <v>0</v>
      </c>
      <c r="BU17" s="144">
        <f t="shared" si="5"/>
        <v>0</v>
      </c>
      <c r="BV17" s="144">
        <f>AB17-AC17-AD17-AE17-AF17</f>
        <v>0</v>
      </c>
      <c r="BW17" s="144">
        <f t="shared" si="6"/>
        <v>0</v>
      </c>
      <c r="BX17" s="144">
        <f t="shared" si="7"/>
        <v>0</v>
      </c>
      <c r="BY17" s="144">
        <f t="shared" si="8"/>
        <v>0</v>
      </c>
    </row>
    <row r="18" spans="1:77" ht="15.75">
      <c r="A18" s="67" t="s">
        <v>185</v>
      </c>
      <c r="B18" s="122" t="s">
        <v>186</v>
      </c>
      <c r="C18" s="125" t="s">
        <v>183</v>
      </c>
      <c r="D18" s="126">
        <v>2022</v>
      </c>
      <c r="E18" s="126">
        <v>2023</v>
      </c>
      <c r="F18" s="40">
        <v>2023</v>
      </c>
      <c r="G18" s="36"/>
      <c r="H18" s="36">
        <v>3.5939940000000004</v>
      </c>
      <c r="I18" s="59">
        <v>44300</v>
      </c>
      <c r="J18" s="59"/>
      <c r="K18" s="36">
        <f>N18</f>
        <v>1.07352</v>
      </c>
      <c r="L18" s="59">
        <v>44300</v>
      </c>
      <c r="M18" s="36">
        <v>3.5939940000000004</v>
      </c>
      <c r="N18" s="36">
        <f t="shared" si="9"/>
        <v>1.07352</v>
      </c>
      <c r="O18" s="36">
        <f>M18</f>
        <v>3.5939940000000004</v>
      </c>
      <c r="P18" s="36">
        <f>AG18+AO18</f>
        <v>1.07352</v>
      </c>
      <c r="Q18" s="160">
        <f>SUM(R18:T18)+X18</f>
        <v>0</v>
      </c>
      <c r="R18" s="160"/>
      <c r="S18" s="160"/>
      <c r="T18" s="160">
        <f>SUM(U18:W18)</f>
        <v>0</v>
      </c>
      <c r="U18" s="160"/>
      <c r="V18" s="160"/>
      <c r="W18" s="160"/>
      <c r="X18" s="160"/>
      <c r="Y18" s="36">
        <f>SUM(Z18:AB18)+AF18</f>
        <v>2.520474</v>
      </c>
      <c r="Z18" s="36"/>
      <c r="AA18" s="36"/>
      <c r="AB18" s="36">
        <f>2.520474</f>
        <v>2.520474</v>
      </c>
      <c r="AC18" s="36">
        <v>0</v>
      </c>
      <c r="AD18" s="36">
        <f>AB18-AC18-AE18</f>
        <v>2.100395</v>
      </c>
      <c r="AE18" s="36">
        <f>AB18/1.2*0.2</f>
        <v>0.4200790000000001</v>
      </c>
      <c r="AF18" s="36"/>
      <c r="AG18" s="36"/>
      <c r="AH18" s="36"/>
      <c r="AI18" s="36"/>
      <c r="AJ18" s="36"/>
      <c r="AK18" s="36"/>
      <c r="AL18" s="36"/>
      <c r="AM18" s="36"/>
      <c r="AN18" s="36"/>
      <c r="AO18" s="36">
        <f>SUM(AP18:AR18)+AV18</f>
        <v>1.07352</v>
      </c>
      <c r="AP18" s="36"/>
      <c r="AQ18" s="36"/>
      <c r="AR18" s="36">
        <v>1.07352</v>
      </c>
      <c r="AS18" s="36">
        <v>0.840158</v>
      </c>
      <c r="AT18" s="36">
        <f>AR18-AS18-AU18</f>
        <v>0.054442000000000046</v>
      </c>
      <c r="AU18" s="36">
        <f>AR18/1.2*0.2</f>
        <v>0.17892000000000002</v>
      </c>
      <c r="AV18" s="36"/>
      <c r="AW18" s="36">
        <f>SUM(AX18:AZ18)+BD18</f>
        <v>3.5939939999999995</v>
      </c>
      <c r="AX18" s="36"/>
      <c r="AY18" s="36"/>
      <c r="AZ18" s="36">
        <f>SUM(BA18:BC18)</f>
        <v>3.5939939999999995</v>
      </c>
      <c r="BA18" s="36">
        <f t="shared" si="1"/>
        <v>0.840158</v>
      </c>
      <c r="BB18" s="36">
        <f t="shared" si="1"/>
        <v>2.1548369999999997</v>
      </c>
      <c r="BC18" s="36">
        <f t="shared" si="1"/>
        <v>0.5989990000000001</v>
      </c>
      <c r="BD18" s="202"/>
      <c r="BE18" s="36">
        <f>SUM(BF18:BH18)+BL18</f>
        <v>1.07352</v>
      </c>
      <c r="BF18" s="36"/>
      <c r="BG18" s="36"/>
      <c r="BH18" s="36">
        <f>SUM(BI18:BK18)</f>
        <v>1.07352</v>
      </c>
      <c r="BI18" s="36">
        <f t="shared" si="2"/>
        <v>0.840158</v>
      </c>
      <c r="BJ18" s="36">
        <f t="shared" si="2"/>
        <v>0.054442000000000046</v>
      </c>
      <c r="BK18" s="36">
        <f t="shared" si="2"/>
        <v>0.17892000000000002</v>
      </c>
      <c r="BL18" s="161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</row>
    <row r="19" spans="1:77" ht="15.75">
      <c r="A19" s="68" t="s">
        <v>128</v>
      </c>
      <c r="B19" s="130" t="s">
        <v>106</v>
      </c>
      <c r="C19" s="121"/>
      <c r="D19" s="121"/>
      <c r="E19" s="121"/>
      <c r="F19" s="121"/>
      <c r="G19" s="121"/>
      <c r="H19" s="36"/>
      <c r="I19" s="143"/>
      <c r="J19" s="143"/>
      <c r="K19" s="36"/>
      <c r="L19" s="143"/>
      <c r="M19" s="36"/>
      <c r="N19" s="36"/>
      <c r="O19" s="36"/>
      <c r="P19" s="36"/>
      <c r="Q19" s="160"/>
      <c r="R19" s="160"/>
      <c r="S19" s="160"/>
      <c r="T19" s="160"/>
      <c r="U19" s="160"/>
      <c r="V19" s="160"/>
      <c r="W19" s="160"/>
      <c r="X19" s="160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203"/>
      <c r="BE19" s="36"/>
      <c r="BF19" s="36"/>
      <c r="BG19" s="36"/>
      <c r="BH19" s="36"/>
      <c r="BI19" s="36"/>
      <c r="BJ19" s="36"/>
      <c r="BK19" s="36"/>
      <c r="BL19" s="162"/>
      <c r="BN19" s="144">
        <f aca="true" t="shared" si="10" ref="BN19:BN30">M19-Y19-AO19-Q19</f>
        <v>0</v>
      </c>
      <c r="BO19" s="144">
        <f t="shared" si="3"/>
        <v>0</v>
      </c>
      <c r="BP19" s="144">
        <f t="shared" si="4"/>
        <v>0</v>
      </c>
      <c r="BQ19" s="144">
        <f aca="true" t="shared" si="11" ref="BQ19:BQ30">Q19-R19-S19-T19</f>
        <v>0</v>
      </c>
      <c r="BR19" s="144">
        <f aca="true" t="shared" si="12" ref="BR19:BR30">T19-U19-V19-W19-X19</f>
        <v>0</v>
      </c>
      <c r="BS19" s="144">
        <f aca="true" t="shared" si="13" ref="BS19:BS30">Y19-Z19-AA19-AB19</f>
        <v>0</v>
      </c>
      <c r="BT19" s="144">
        <f aca="true" t="shared" si="14" ref="BT19:BT30">AB19-AC19-AD19-AE19-AF19</f>
        <v>0</v>
      </c>
      <c r="BU19" s="144">
        <f t="shared" si="5"/>
        <v>0</v>
      </c>
      <c r="BV19" s="144">
        <f aca="true" t="shared" si="15" ref="BV19:BV30">AB19-AC19-AD19-AE19-AF19</f>
        <v>0</v>
      </c>
      <c r="BW19" s="144">
        <f t="shared" si="6"/>
        <v>0</v>
      </c>
      <c r="BX19" s="144">
        <f t="shared" si="7"/>
        <v>0</v>
      </c>
      <c r="BY19" s="144">
        <f t="shared" si="8"/>
        <v>0</v>
      </c>
    </row>
    <row r="20" spans="1:77" ht="15.75">
      <c r="A20" s="67" t="s">
        <v>108</v>
      </c>
      <c r="B20" s="128" t="s">
        <v>165</v>
      </c>
      <c r="C20" s="125" t="s">
        <v>174</v>
      </c>
      <c r="D20" s="40">
        <v>2022</v>
      </c>
      <c r="E20" s="40">
        <v>2022</v>
      </c>
      <c r="F20" s="40"/>
      <c r="G20" s="36"/>
      <c r="H20" s="36">
        <v>7.03084995</v>
      </c>
      <c r="I20" s="59">
        <v>44300</v>
      </c>
      <c r="J20" s="59"/>
      <c r="K20" s="36"/>
      <c r="L20" s="59"/>
      <c r="M20" s="36">
        <f>H20</f>
        <v>7.03084995</v>
      </c>
      <c r="N20" s="36"/>
      <c r="O20" s="36">
        <f aca="true" t="shared" si="16" ref="O20:O26">M20</f>
        <v>7.03084995</v>
      </c>
      <c r="P20" s="36"/>
      <c r="Q20" s="160">
        <f aca="true" t="shared" si="17" ref="Q20:Q25">SUM(R20:T20)+X20</f>
        <v>0</v>
      </c>
      <c r="R20" s="160"/>
      <c r="S20" s="160"/>
      <c r="T20" s="160">
        <f aca="true" t="shared" si="18" ref="T20:T25">SUM(U20:W20)</f>
        <v>0</v>
      </c>
      <c r="U20" s="160"/>
      <c r="V20" s="160"/>
      <c r="W20" s="160"/>
      <c r="X20" s="160"/>
      <c r="Y20" s="36">
        <f aca="true" t="shared" si="19" ref="Y20:Y26">SUM(Z20:AB20)+AF20</f>
        <v>7.03084995</v>
      </c>
      <c r="Z20" s="36"/>
      <c r="AA20" s="36"/>
      <c r="AB20" s="36">
        <f>O20</f>
        <v>7.03084995</v>
      </c>
      <c r="AC20" s="36">
        <v>5.859041625</v>
      </c>
      <c r="AD20" s="36">
        <f>AB20-AC20-AE20</f>
        <v>0</v>
      </c>
      <c r="AE20" s="36">
        <f>O20/1.2*0.2</f>
        <v>1.1718083250000002</v>
      </c>
      <c r="AF20" s="36"/>
      <c r="AG20" s="36"/>
      <c r="AH20" s="36"/>
      <c r="AI20" s="36"/>
      <c r="AJ20" s="36"/>
      <c r="AK20" s="36"/>
      <c r="AL20" s="36"/>
      <c r="AM20" s="36"/>
      <c r="AN20" s="36"/>
      <c r="AO20" s="36">
        <f aca="true" t="shared" si="20" ref="AO20:AO26">SUM(AP20:AR20)+AV20</f>
        <v>0</v>
      </c>
      <c r="AP20" s="36"/>
      <c r="AQ20" s="36"/>
      <c r="AR20" s="36"/>
      <c r="AS20" s="36"/>
      <c r="AT20" s="36"/>
      <c r="AU20" s="36"/>
      <c r="AV20" s="36"/>
      <c r="AW20" s="36">
        <f aca="true" t="shared" si="21" ref="AW20:AW30">SUM(AX20:AZ20)+BD20</f>
        <v>7.03084995</v>
      </c>
      <c r="AX20" s="36"/>
      <c r="AY20" s="36"/>
      <c r="AZ20" s="36">
        <f>SUM(BA20:BC20)</f>
        <v>7.03084995</v>
      </c>
      <c r="BA20" s="36">
        <f aca="true" t="shared" si="22" ref="BA20:BC26">U20+AC20+AS20</f>
        <v>5.859041625</v>
      </c>
      <c r="BB20" s="36">
        <f t="shared" si="22"/>
        <v>0</v>
      </c>
      <c r="BC20" s="36">
        <f t="shared" si="22"/>
        <v>1.1718083250000002</v>
      </c>
      <c r="BD20" s="202"/>
      <c r="BE20" s="36">
        <f aca="true" t="shared" si="23" ref="BE20:BE26">SUM(BF20:BH20)+BL20</f>
        <v>0</v>
      </c>
      <c r="BF20" s="36"/>
      <c r="BG20" s="36"/>
      <c r="BH20" s="36">
        <f aca="true" t="shared" si="24" ref="BH20:BH26">SUM(BI20:BK20)</f>
        <v>0</v>
      </c>
      <c r="BI20" s="36">
        <f aca="true" t="shared" si="25" ref="BI20:BI26">U20+AK20+AS20</f>
        <v>0</v>
      </c>
      <c r="BJ20" s="36">
        <f aca="true" t="shared" si="26" ref="BJ20:BJ26">V20+AL20+AT20</f>
        <v>0</v>
      </c>
      <c r="BK20" s="36">
        <f aca="true" t="shared" si="27" ref="BK20:BK26">W20+AM20+AU20</f>
        <v>0</v>
      </c>
      <c r="BL20" s="161"/>
      <c r="BN20" s="144">
        <f t="shared" si="10"/>
        <v>0</v>
      </c>
      <c r="BO20" s="144">
        <f t="shared" si="3"/>
        <v>0</v>
      </c>
      <c r="BP20" s="144">
        <f t="shared" si="4"/>
        <v>0</v>
      </c>
      <c r="BQ20" s="144">
        <f t="shared" si="11"/>
        <v>0</v>
      </c>
      <c r="BR20" s="144">
        <f t="shared" si="12"/>
        <v>0</v>
      </c>
      <c r="BS20" s="144">
        <f t="shared" si="13"/>
        <v>0</v>
      </c>
      <c r="BT20" s="144">
        <f t="shared" si="14"/>
        <v>4.440892098500626E-16</v>
      </c>
      <c r="BU20" s="144">
        <f t="shared" si="5"/>
        <v>0</v>
      </c>
      <c r="BV20" s="144">
        <f t="shared" si="15"/>
        <v>4.440892098500626E-16</v>
      </c>
      <c r="BW20" s="144">
        <f t="shared" si="6"/>
        <v>0</v>
      </c>
      <c r="BX20" s="144">
        <f t="shared" si="7"/>
        <v>0</v>
      </c>
      <c r="BY20" s="144">
        <f t="shared" si="8"/>
        <v>0</v>
      </c>
    </row>
    <row r="21" spans="1:77" ht="15.75">
      <c r="A21" s="67" t="s">
        <v>109</v>
      </c>
      <c r="B21" s="128" t="s">
        <v>137</v>
      </c>
      <c r="C21" s="125" t="s">
        <v>176</v>
      </c>
      <c r="D21" s="40">
        <v>2023</v>
      </c>
      <c r="E21" s="40">
        <v>2023</v>
      </c>
      <c r="F21" s="40">
        <v>2023</v>
      </c>
      <c r="G21" s="36"/>
      <c r="H21" s="36">
        <v>16.3957484523754</v>
      </c>
      <c r="I21" s="59">
        <v>44300</v>
      </c>
      <c r="J21" s="59"/>
      <c r="K21" s="36">
        <f>M21</f>
        <v>16.3957484523754</v>
      </c>
      <c r="L21" s="59">
        <v>44300</v>
      </c>
      <c r="M21" s="36">
        <f>H21</f>
        <v>16.3957484523754</v>
      </c>
      <c r="N21" s="36">
        <f t="shared" si="9"/>
        <v>16.3957484523754</v>
      </c>
      <c r="O21" s="36">
        <f t="shared" si="16"/>
        <v>16.3957484523754</v>
      </c>
      <c r="P21" s="36">
        <f>AG21+AO21</f>
        <v>16.3957484523754</v>
      </c>
      <c r="Q21" s="160">
        <f t="shared" si="17"/>
        <v>0</v>
      </c>
      <c r="R21" s="160"/>
      <c r="S21" s="160"/>
      <c r="T21" s="160">
        <f t="shared" si="18"/>
        <v>0</v>
      </c>
      <c r="U21" s="160"/>
      <c r="V21" s="160"/>
      <c r="W21" s="160"/>
      <c r="X21" s="160"/>
      <c r="Y21" s="36">
        <f t="shared" si="19"/>
        <v>0</v>
      </c>
      <c r="Z21" s="36"/>
      <c r="AA21" s="36"/>
      <c r="AB21" s="36">
        <f>SUM(AC21:AE21)</f>
        <v>0</v>
      </c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>
        <f t="shared" si="20"/>
        <v>16.3957484523754</v>
      </c>
      <c r="AP21" s="36"/>
      <c r="AQ21" s="36"/>
      <c r="AR21" s="36">
        <f>O21</f>
        <v>16.3957484523754</v>
      </c>
      <c r="AS21" s="36">
        <v>13.663123710312833</v>
      </c>
      <c r="AT21" s="36">
        <f>AR21-AS21-AU21</f>
        <v>0</v>
      </c>
      <c r="AU21" s="36">
        <f>O21/1.2*0.2</f>
        <v>2.7326247420625673</v>
      </c>
      <c r="AV21" s="36"/>
      <c r="AW21" s="36">
        <f t="shared" si="21"/>
        <v>16.3957484523754</v>
      </c>
      <c r="AX21" s="36"/>
      <c r="AY21" s="36"/>
      <c r="AZ21" s="36">
        <f aca="true" t="shared" si="28" ref="AZ21:AZ30">SUM(BA21:BC21)</f>
        <v>16.3957484523754</v>
      </c>
      <c r="BA21" s="36">
        <f t="shared" si="22"/>
        <v>13.663123710312833</v>
      </c>
      <c r="BB21" s="36">
        <f t="shared" si="22"/>
        <v>0</v>
      </c>
      <c r="BC21" s="36">
        <f t="shared" si="22"/>
        <v>2.7326247420625673</v>
      </c>
      <c r="BD21" s="202"/>
      <c r="BE21" s="36">
        <f t="shared" si="23"/>
        <v>16.3957484523754</v>
      </c>
      <c r="BF21" s="36"/>
      <c r="BG21" s="36"/>
      <c r="BH21" s="36">
        <f t="shared" si="24"/>
        <v>16.3957484523754</v>
      </c>
      <c r="BI21" s="36">
        <f t="shared" si="25"/>
        <v>13.663123710312833</v>
      </c>
      <c r="BJ21" s="36">
        <f t="shared" si="26"/>
        <v>0</v>
      </c>
      <c r="BK21" s="36">
        <f t="shared" si="27"/>
        <v>2.7326247420625673</v>
      </c>
      <c r="BL21" s="161"/>
      <c r="BN21" s="144">
        <f t="shared" si="10"/>
        <v>0</v>
      </c>
      <c r="BO21" s="144">
        <f t="shared" si="3"/>
        <v>0</v>
      </c>
      <c r="BP21" s="144">
        <f t="shared" si="4"/>
        <v>0</v>
      </c>
      <c r="BQ21" s="144">
        <f t="shared" si="11"/>
        <v>0</v>
      </c>
      <c r="BR21" s="144">
        <f t="shared" si="12"/>
        <v>0</v>
      </c>
      <c r="BS21" s="144">
        <f t="shared" si="13"/>
        <v>0</v>
      </c>
      <c r="BT21" s="144">
        <f t="shared" si="14"/>
        <v>0</v>
      </c>
      <c r="BU21" s="144">
        <f t="shared" si="5"/>
        <v>0</v>
      </c>
      <c r="BV21" s="144">
        <f t="shared" si="15"/>
        <v>0</v>
      </c>
      <c r="BW21" s="144">
        <f t="shared" si="6"/>
        <v>0</v>
      </c>
      <c r="BX21" s="144">
        <f t="shared" si="7"/>
        <v>0</v>
      </c>
      <c r="BY21" s="144">
        <f t="shared" si="8"/>
        <v>0</v>
      </c>
    </row>
    <row r="22" spans="1:77" ht="15.75">
      <c r="A22" s="67" t="s">
        <v>110</v>
      </c>
      <c r="B22" s="128" t="s">
        <v>164</v>
      </c>
      <c r="C22" s="125" t="s">
        <v>175</v>
      </c>
      <c r="D22" s="40">
        <v>2022</v>
      </c>
      <c r="E22" s="40">
        <v>2022</v>
      </c>
      <c r="F22" s="40"/>
      <c r="G22" s="36"/>
      <c r="H22" s="36">
        <v>7.42334919</v>
      </c>
      <c r="I22" s="59">
        <v>44300</v>
      </c>
      <c r="J22" s="59"/>
      <c r="K22" s="36"/>
      <c r="L22" s="59"/>
      <c r="M22" s="36">
        <f>H22</f>
        <v>7.42334919</v>
      </c>
      <c r="N22" s="36"/>
      <c r="O22" s="36">
        <f t="shared" si="16"/>
        <v>7.42334919</v>
      </c>
      <c r="P22" s="36"/>
      <c r="Q22" s="160">
        <f t="shared" si="17"/>
        <v>0</v>
      </c>
      <c r="R22" s="160"/>
      <c r="S22" s="160"/>
      <c r="T22" s="160">
        <f t="shared" si="18"/>
        <v>0</v>
      </c>
      <c r="U22" s="160"/>
      <c r="V22" s="160"/>
      <c r="W22" s="160"/>
      <c r="X22" s="160"/>
      <c r="Y22" s="36">
        <f t="shared" si="19"/>
        <v>7.42334919</v>
      </c>
      <c r="Z22" s="36"/>
      <c r="AA22" s="36"/>
      <c r="AB22" s="36">
        <f>O22</f>
        <v>7.42334919</v>
      </c>
      <c r="AC22" s="36">
        <v>6.186124325</v>
      </c>
      <c r="AD22" s="36">
        <f>AB22-AC22-AE22</f>
        <v>0</v>
      </c>
      <c r="AE22" s="36">
        <f>O22/1.2*0.2</f>
        <v>1.237224865</v>
      </c>
      <c r="AF22" s="36"/>
      <c r="AG22" s="36"/>
      <c r="AH22" s="36"/>
      <c r="AI22" s="36"/>
      <c r="AJ22" s="36"/>
      <c r="AK22" s="36"/>
      <c r="AL22" s="36"/>
      <c r="AM22" s="36"/>
      <c r="AN22" s="36"/>
      <c r="AO22" s="36">
        <f t="shared" si="20"/>
        <v>0</v>
      </c>
      <c r="AP22" s="36"/>
      <c r="AQ22" s="36"/>
      <c r="AR22" s="36"/>
      <c r="AS22" s="36"/>
      <c r="AT22" s="36"/>
      <c r="AU22" s="36"/>
      <c r="AV22" s="36"/>
      <c r="AW22" s="36">
        <f t="shared" si="21"/>
        <v>7.42334919</v>
      </c>
      <c r="AX22" s="36"/>
      <c r="AY22" s="36"/>
      <c r="AZ22" s="36">
        <f t="shared" si="28"/>
        <v>7.42334919</v>
      </c>
      <c r="BA22" s="36">
        <f t="shared" si="22"/>
        <v>6.186124325</v>
      </c>
      <c r="BB22" s="36">
        <f t="shared" si="22"/>
        <v>0</v>
      </c>
      <c r="BC22" s="36">
        <f t="shared" si="22"/>
        <v>1.237224865</v>
      </c>
      <c r="BD22" s="202"/>
      <c r="BE22" s="36">
        <f t="shared" si="23"/>
        <v>0</v>
      </c>
      <c r="BF22" s="36"/>
      <c r="BG22" s="36"/>
      <c r="BH22" s="36">
        <f t="shared" si="24"/>
        <v>0</v>
      </c>
      <c r="BI22" s="36">
        <f t="shared" si="25"/>
        <v>0</v>
      </c>
      <c r="BJ22" s="36">
        <f t="shared" si="26"/>
        <v>0</v>
      </c>
      <c r="BK22" s="36">
        <f t="shared" si="27"/>
        <v>0</v>
      </c>
      <c r="BL22" s="161"/>
      <c r="BN22" s="144">
        <f t="shared" si="10"/>
        <v>0</v>
      </c>
      <c r="BO22" s="144">
        <f t="shared" si="3"/>
        <v>0</v>
      </c>
      <c r="BP22" s="144">
        <f t="shared" si="4"/>
        <v>0</v>
      </c>
      <c r="BQ22" s="144">
        <f t="shared" si="11"/>
        <v>0</v>
      </c>
      <c r="BR22" s="144">
        <f t="shared" si="12"/>
        <v>0</v>
      </c>
      <c r="BS22" s="144">
        <f t="shared" si="13"/>
        <v>0</v>
      </c>
      <c r="BT22" s="144">
        <f t="shared" si="14"/>
        <v>0</v>
      </c>
      <c r="BU22" s="144">
        <f t="shared" si="5"/>
        <v>0</v>
      </c>
      <c r="BV22" s="144">
        <f t="shared" si="15"/>
        <v>0</v>
      </c>
      <c r="BW22" s="144">
        <f t="shared" si="6"/>
        <v>0</v>
      </c>
      <c r="BX22" s="144">
        <f t="shared" si="7"/>
        <v>0</v>
      </c>
      <c r="BY22" s="144">
        <f t="shared" si="8"/>
        <v>0</v>
      </c>
    </row>
    <row r="23" spans="1:77" ht="15.75">
      <c r="A23" s="67" t="s">
        <v>130</v>
      </c>
      <c r="B23" s="37" t="s">
        <v>162</v>
      </c>
      <c r="C23" s="125" t="s">
        <v>178</v>
      </c>
      <c r="D23" s="40">
        <v>2022</v>
      </c>
      <c r="E23" s="40">
        <v>2022</v>
      </c>
      <c r="F23" s="40"/>
      <c r="G23" s="36"/>
      <c r="H23" s="36">
        <f>1.32343664*0.20602961</f>
        <v>0.2726671347989104</v>
      </c>
      <c r="I23" s="59">
        <v>44300</v>
      </c>
      <c r="J23" s="59"/>
      <c r="K23" s="36"/>
      <c r="L23" s="59"/>
      <c r="M23" s="36">
        <f>1.32343664*0.20602961</f>
        <v>0.2726671347989104</v>
      </c>
      <c r="N23" s="36"/>
      <c r="O23" s="36">
        <f t="shared" si="16"/>
        <v>0.2726671347989104</v>
      </c>
      <c r="P23" s="36"/>
      <c r="Q23" s="160">
        <f t="shared" si="17"/>
        <v>0</v>
      </c>
      <c r="R23" s="160"/>
      <c r="S23" s="160"/>
      <c r="T23" s="160">
        <f t="shared" si="18"/>
        <v>0</v>
      </c>
      <c r="U23" s="160"/>
      <c r="V23" s="160"/>
      <c r="W23" s="160"/>
      <c r="X23" s="160"/>
      <c r="Y23" s="36">
        <f t="shared" si="19"/>
        <v>0.2726671347989104</v>
      </c>
      <c r="Z23" s="36"/>
      <c r="AA23" s="36"/>
      <c r="AB23" s="36">
        <f>O23</f>
        <v>0.2726671347989104</v>
      </c>
      <c r="AC23" s="36">
        <v>0.06127021</v>
      </c>
      <c r="AD23" s="36">
        <f>AB23-AC23-AE23</f>
        <v>0.16595240233242536</v>
      </c>
      <c r="AE23" s="36">
        <f>O23/1.2*0.2</f>
        <v>0.045444522466485074</v>
      </c>
      <c r="AF23" s="36"/>
      <c r="AG23" s="36"/>
      <c r="AH23" s="36"/>
      <c r="AI23" s="36"/>
      <c r="AJ23" s="36"/>
      <c r="AK23" s="36"/>
      <c r="AL23" s="36"/>
      <c r="AM23" s="36"/>
      <c r="AN23" s="36"/>
      <c r="AO23" s="36">
        <f>SUM(AP23:AR23)+AV23</f>
        <v>0</v>
      </c>
      <c r="AP23" s="36"/>
      <c r="AQ23" s="36"/>
      <c r="AR23" s="36"/>
      <c r="AS23" s="36"/>
      <c r="AT23" s="36"/>
      <c r="AU23" s="36"/>
      <c r="AV23" s="36"/>
      <c r="AW23" s="36">
        <f t="shared" si="21"/>
        <v>0.2726671347989104</v>
      </c>
      <c r="AX23" s="36"/>
      <c r="AY23" s="36"/>
      <c r="AZ23" s="36">
        <f t="shared" si="28"/>
        <v>0.2726671347989104</v>
      </c>
      <c r="BA23" s="36">
        <f t="shared" si="22"/>
        <v>0.06127021</v>
      </c>
      <c r="BB23" s="36">
        <f t="shared" si="22"/>
        <v>0.16595240233242536</v>
      </c>
      <c r="BC23" s="36">
        <f t="shared" si="22"/>
        <v>0.045444522466485074</v>
      </c>
      <c r="BD23" s="202"/>
      <c r="BE23" s="36">
        <f t="shared" si="23"/>
        <v>0</v>
      </c>
      <c r="BF23" s="36"/>
      <c r="BG23" s="36"/>
      <c r="BH23" s="36">
        <f t="shared" si="24"/>
        <v>0</v>
      </c>
      <c r="BI23" s="36">
        <f t="shared" si="25"/>
        <v>0</v>
      </c>
      <c r="BJ23" s="36">
        <f t="shared" si="26"/>
        <v>0</v>
      </c>
      <c r="BK23" s="36">
        <f t="shared" si="27"/>
        <v>0</v>
      </c>
      <c r="BL23" s="161"/>
      <c r="BN23" s="144">
        <f t="shared" si="10"/>
        <v>0</v>
      </c>
      <c r="BO23" s="144">
        <f t="shared" si="3"/>
        <v>0</v>
      </c>
      <c r="BP23" s="144">
        <f t="shared" si="4"/>
        <v>0</v>
      </c>
      <c r="BQ23" s="144">
        <f t="shared" si="11"/>
        <v>0</v>
      </c>
      <c r="BR23" s="144">
        <f t="shared" si="12"/>
        <v>0</v>
      </c>
      <c r="BS23" s="144">
        <f t="shared" si="13"/>
        <v>0</v>
      </c>
      <c r="BT23" s="144">
        <f t="shared" si="14"/>
        <v>-1.3877787807814457E-17</v>
      </c>
      <c r="BU23" s="144">
        <f t="shared" si="5"/>
        <v>0</v>
      </c>
      <c r="BV23" s="144">
        <f t="shared" si="15"/>
        <v>-1.3877787807814457E-17</v>
      </c>
      <c r="BW23" s="144">
        <f t="shared" si="6"/>
        <v>0</v>
      </c>
      <c r="BX23" s="144">
        <f t="shared" si="7"/>
        <v>0</v>
      </c>
      <c r="BY23" s="144">
        <f t="shared" si="8"/>
        <v>0</v>
      </c>
    </row>
    <row r="24" spans="1:77" ht="15.75">
      <c r="A24" s="67" t="s">
        <v>131</v>
      </c>
      <c r="B24" s="37" t="s">
        <v>163</v>
      </c>
      <c r="C24" s="125" t="s">
        <v>179</v>
      </c>
      <c r="D24" s="40">
        <v>2022</v>
      </c>
      <c r="E24" s="40">
        <v>2022</v>
      </c>
      <c r="F24" s="40"/>
      <c r="G24" s="36"/>
      <c r="H24" s="36">
        <f>0.9232072596667*0.20602961</f>
        <v>0.19020803165829894</v>
      </c>
      <c r="I24" s="59">
        <v>44300</v>
      </c>
      <c r="J24" s="59"/>
      <c r="K24" s="36"/>
      <c r="L24" s="59"/>
      <c r="M24" s="36">
        <f>0.9232072596667*0.20602961</f>
        <v>0.19020803165829894</v>
      </c>
      <c r="N24" s="36"/>
      <c r="O24" s="36">
        <f>M24</f>
        <v>0.19020803165829894</v>
      </c>
      <c r="P24" s="36"/>
      <c r="Q24" s="160">
        <f>SUM(R24:T24)+X24</f>
        <v>0</v>
      </c>
      <c r="R24" s="160"/>
      <c r="S24" s="160"/>
      <c r="T24" s="160">
        <f>SUM(U24:W24)</f>
        <v>0</v>
      </c>
      <c r="U24" s="160"/>
      <c r="V24" s="160"/>
      <c r="W24" s="160"/>
      <c r="X24" s="160"/>
      <c r="Y24" s="36">
        <f t="shared" si="19"/>
        <v>0.19020803165829894</v>
      </c>
      <c r="Z24" s="36"/>
      <c r="AA24" s="36"/>
      <c r="AB24" s="36">
        <f>O24</f>
        <v>0.19020803165829894</v>
      </c>
      <c r="AC24" s="36">
        <v>0.12822323</v>
      </c>
      <c r="AD24" s="36">
        <f>AB24-AC24-AE24</f>
        <v>0.03028346304858246</v>
      </c>
      <c r="AE24" s="36">
        <f>O24/1.2*0.2</f>
        <v>0.03170133860971649</v>
      </c>
      <c r="AF24" s="36"/>
      <c r="AG24" s="36"/>
      <c r="AH24" s="36"/>
      <c r="AI24" s="36"/>
      <c r="AJ24" s="36"/>
      <c r="AK24" s="36"/>
      <c r="AL24" s="36"/>
      <c r="AM24" s="36"/>
      <c r="AN24" s="36"/>
      <c r="AO24" s="36">
        <f t="shared" si="20"/>
        <v>0</v>
      </c>
      <c r="AP24" s="36"/>
      <c r="AQ24" s="36"/>
      <c r="AR24" s="36"/>
      <c r="AS24" s="36"/>
      <c r="AT24" s="36"/>
      <c r="AU24" s="36"/>
      <c r="AV24" s="36"/>
      <c r="AW24" s="36">
        <f>SUM(AX24:AZ24)+BD24</f>
        <v>0.19020803165829894</v>
      </c>
      <c r="AX24" s="36"/>
      <c r="AY24" s="36"/>
      <c r="AZ24" s="36">
        <f>SUM(BA24:BC24)</f>
        <v>0.19020803165829894</v>
      </c>
      <c r="BA24" s="36">
        <f t="shared" si="22"/>
        <v>0.12822323</v>
      </c>
      <c r="BB24" s="36">
        <f t="shared" si="22"/>
        <v>0.03028346304858246</v>
      </c>
      <c r="BC24" s="36">
        <f t="shared" si="22"/>
        <v>0.03170133860971649</v>
      </c>
      <c r="BD24" s="202"/>
      <c r="BE24" s="36">
        <f t="shared" si="23"/>
        <v>0</v>
      </c>
      <c r="BF24" s="36"/>
      <c r="BG24" s="36"/>
      <c r="BH24" s="36">
        <f t="shared" si="24"/>
        <v>0</v>
      </c>
      <c r="BI24" s="36">
        <f t="shared" si="25"/>
        <v>0</v>
      </c>
      <c r="BJ24" s="36">
        <f t="shared" si="26"/>
        <v>0</v>
      </c>
      <c r="BK24" s="36">
        <f t="shared" si="27"/>
        <v>0</v>
      </c>
      <c r="BL24" s="161"/>
      <c r="BN24" s="144">
        <f t="shared" si="10"/>
        <v>0</v>
      </c>
      <c r="BO24" s="144">
        <f t="shared" si="3"/>
        <v>0</v>
      </c>
      <c r="BP24" s="144">
        <f t="shared" si="4"/>
        <v>0</v>
      </c>
      <c r="BQ24" s="144">
        <f t="shared" si="11"/>
        <v>0</v>
      </c>
      <c r="BR24" s="144">
        <f t="shared" si="12"/>
        <v>0</v>
      </c>
      <c r="BS24" s="144">
        <f t="shared" si="13"/>
        <v>0</v>
      </c>
      <c r="BT24" s="144">
        <f t="shared" si="14"/>
        <v>0</v>
      </c>
      <c r="BU24" s="144">
        <f t="shared" si="5"/>
        <v>0</v>
      </c>
      <c r="BV24" s="144">
        <f t="shared" si="15"/>
        <v>0</v>
      </c>
      <c r="BW24" s="144">
        <f t="shared" si="6"/>
        <v>0</v>
      </c>
      <c r="BX24" s="144">
        <f t="shared" si="7"/>
        <v>0</v>
      </c>
      <c r="BY24" s="144">
        <f t="shared" si="8"/>
        <v>0</v>
      </c>
    </row>
    <row r="25" spans="1:77" ht="31.5">
      <c r="A25" s="67" t="s">
        <v>132</v>
      </c>
      <c r="B25" s="37" t="s">
        <v>169</v>
      </c>
      <c r="C25" s="125" t="s">
        <v>180</v>
      </c>
      <c r="D25" s="40">
        <v>2022</v>
      </c>
      <c r="E25" s="40">
        <v>2022</v>
      </c>
      <c r="F25" s="40"/>
      <c r="G25" s="36"/>
      <c r="H25" s="36">
        <f>6.42567772*0.20602961</f>
        <v>1.3238798746372893</v>
      </c>
      <c r="I25" s="59">
        <v>44300</v>
      </c>
      <c r="J25" s="59"/>
      <c r="K25" s="36"/>
      <c r="L25" s="59"/>
      <c r="M25" s="36">
        <f>6.42567772*0.20602961</f>
        <v>1.3238798746372893</v>
      </c>
      <c r="N25" s="36"/>
      <c r="O25" s="36">
        <f t="shared" si="16"/>
        <v>1.3238798746372893</v>
      </c>
      <c r="P25" s="36"/>
      <c r="Q25" s="160">
        <f t="shared" si="17"/>
        <v>0</v>
      </c>
      <c r="R25" s="160"/>
      <c r="S25" s="160"/>
      <c r="T25" s="160">
        <f t="shared" si="18"/>
        <v>0</v>
      </c>
      <c r="U25" s="160"/>
      <c r="V25" s="160"/>
      <c r="W25" s="160"/>
      <c r="X25" s="160"/>
      <c r="Y25" s="36">
        <f t="shared" si="19"/>
        <v>1.3238798746372893</v>
      </c>
      <c r="Z25" s="36"/>
      <c r="AA25" s="36"/>
      <c r="AB25" s="36">
        <f>O25</f>
        <v>1.3238798746372893</v>
      </c>
      <c r="AC25" s="36">
        <v>0.44622762</v>
      </c>
      <c r="AD25" s="36">
        <f>AB25-AC25-AE25</f>
        <v>0.6570056088644078</v>
      </c>
      <c r="AE25" s="36">
        <f>O25/1.2*0.2</f>
        <v>0.22064664577288157</v>
      </c>
      <c r="AF25" s="36"/>
      <c r="AG25" s="36"/>
      <c r="AH25" s="36"/>
      <c r="AI25" s="36"/>
      <c r="AJ25" s="36"/>
      <c r="AK25" s="36"/>
      <c r="AL25" s="36"/>
      <c r="AM25" s="36"/>
      <c r="AN25" s="36"/>
      <c r="AO25" s="36">
        <f t="shared" si="20"/>
        <v>0</v>
      </c>
      <c r="AP25" s="36"/>
      <c r="AQ25" s="36"/>
      <c r="AR25" s="36"/>
      <c r="AS25" s="36"/>
      <c r="AT25" s="36"/>
      <c r="AU25" s="36"/>
      <c r="AV25" s="36"/>
      <c r="AW25" s="36">
        <f t="shared" si="21"/>
        <v>1.3238798746372893</v>
      </c>
      <c r="AX25" s="36"/>
      <c r="AY25" s="36"/>
      <c r="AZ25" s="36">
        <f t="shared" si="28"/>
        <v>1.3238798746372893</v>
      </c>
      <c r="BA25" s="36">
        <f t="shared" si="22"/>
        <v>0.44622762</v>
      </c>
      <c r="BB25" s="36">
        <f t="shared" si="22"/>
        <v>0.6570056088644078</v>
      </c>
      <c r="BC25" s="36">
        <f t="shared" si="22"/>
        <v>0.22064664577288157</v>
      </c>
      <c r="BD25" s="202"/>
      <c r="BE25" s="36">
        <f t="shared" si="23"/>
        <v>0</v>
      </c>
      <c r="BF25" s="36"/>
      <c r="BG25" s="36"/>
      <c r="BH25" s="36">
        <f t="shared" si="24"/>
        <v>0</v>
      </c>
      <c r="BI25" s="36">
        <f t="shared" si="25"/>
        <v>0</v>
      </c>
      <c r="BJ25" s="36">
        <f t="shared" si="26"/>
        <v>0</v>
      </c>
      <c r="BK25" s="36">
        <f t="shared" si="27"/>
        <v>0</v>
      </c>
      <c r="BL25" s="161"/>
      <c r="BN25" s="144">
        <f t="shared" si="10"/>
        <v>0</v>
      </c>
      <c r="BO25" s="144">
        <f t="shared" si="3"/>
        <v>0</v>
      </c>
      <c r="BP25" s="144">
        <f t="shared" si="4"/>
        <v>0</v>
      </c>
      <c r="BQ25" s="144">
        <f t="shared" si="11"/>
        <v>0</v>
      </c>
      <c r="BR25" s="144">
        <f t="shared" si="12"/>
        <v>0</v>
      </c>
      <c r="BS25" s="144">
        <f t="shared" si="13"/>
        <v>0</v>
      </c>
      <c r="BT25" s="144">
        <f t="shared" si="14"/>
        <v>-5.551115123125783E-17</v>
      </c>
      <c r="BU25" s="144">
        <f t="shared" si="5"/>
        <v>0</v>
      </c>
      <c r="BV25" s="144">
        <f t="shared" si="15"/>
        <v>-5.551115123125783E-17</v>
      </c>
      <c r="BW25" s="144">
        <f t="shared" si="6"/>
        <v>0</v>
      </c>
      <c r="BX25" s="144">
        <f t="shared" si="7"/>
        <v>0</v>
      </c>
      <c r="BY25" s="144">
        <f t="shared" si="8"/>
        <v>0</v>
      </c>
    </row>
    <row r="26" spans="1:77" ht="15.75">
      <c r="A26" s="67" t="s">
        <v>133</v>
      </c>
      <c r="B26" s="37" t="s">
        <v>187</v>
      </c>
      <c r="C26" s="125" t="s">
        <v>184</v>
      </c>
      <c r="D26" s="40">
        <v>2022</v>
      </c>
      <c r="E26" s="40">
        <v>2023</v>
      </c>
      <c r="F26" s="40">
        <v>2023</v>
      </c>
      <c r="G26" s="36"/>
      <c r="H26" s="36">
        <v>15.595799999999999</v>
      </c>
      <c r="I26" s="59">
        <v>44300</v>
      </c>
      <c r="J26" s="59"/>
      <c r="K26" s="36">
        <f>N26</f>
        <v>7.797899999999999</v>
      </c>
      <c r="L26" s="59">
        <v>44300</v>
      </c>
      <c r="M26" s="36">
        <f>H26</f>
        <v>15.595799999999999</v>
      </c>
      <c r="N26" s="36">
        <f t="shared" si="9"/>
        <v>7.797899999999999</v>
      </c>
      <c r="O26" s="36">
        <f t="shared" si="16"/>
        <v>15.595799999999999</v>
      </c>
      <c r="P26" s="36">
        <f>AG26+AO26</f>
        <v>7.797899999999999</v>
      </c>
      <c r="Q26" s="160">
        <f>SUM(R26:T26)+X26</f>
        <v>0</v>
      </c>
      <c r="R26" s="160"/>
      <c r="S26" s="160"/>
      <c r="T26" s="160">
        <f>SUM(U26:W26)</f>
        <v>0</v>
      </c>
      <c r="U26" s="160"/>
      <c r="V26" s="160"/>
      <c r="W26" s="160"/>
      <c r="X26" s="160"/>
      <c r="Y26" s="36">
        <f t="shared" si="19"/>
        <v>7.797899999999999</v>
      </c>
      <c r="Z26" s="36"/>
      <c r="AA26" s="36"/>
      <c r="AB26" s="36">
        <v>7.797899999999999</v>
      </c>
      <c r="AC26" s="36">
        <v>2.5993</v>
      </c>
      <c r="AD26" s="36">
        <f>AB26-AC26-AE26</f>
        <v>3.8989499999999992</v>
      </c>
      <c r="AE26" s="36">
        <f>AB26/1.2*0.2</f>
        <v>1.29965</v>
      </c>
      <c r="AF26" s="36"/>
      <c r="AG26" s="36"/>
      <c r="AH26" s="36"/>
      <c r="AI26" s="36"/>
      <c r="AJ26" s="36"/>
      <c r="AK26" s="36"/>
      <c r="AL26" s="36"/>
      <c r="AM26" s="36"/>
      <c r="AN26" s="36"/>
      <c r="AO26" s="36">
        <f t="shared" si="20"/>
        <v>7.797899999999999</v>
      </c>
      <c r="AP26" s="36"/>
      <c r="AQ26" s="36"/>
      <c r="AR26" s="36">
        <v>7.797899999999999</v>
      </c>
      <c r="AS26" s="36">
        <v>2.5993</v>
      </c>
      <c r="AT26" s="36">
        <f>AR26-AS26-AU26</f>
        <v>3.8989499999999992</v>
      </c>
      <c r="AU26" s="36">
        <f>AR26/1.2*0.2</f>
        <v>1.29965</v>
      </c>
      <c r="AV26" s="36"/>
      <c r="AW26" s="36">
        <f>SUM(AX26:AZ26)+BD26</f>
        <v>15.595799999999997</v>
      </c>
      <c r="AX26" s="36"/>
      <c r="AY26" s="36"/>
      <c r="AZ26" s="36">
        <f>SUM(BA26:BC26)</f>
        <v>15.595799999999997</v>
      </c>
      <c r="BA26" s="36">
        <f t="shared" si="22"/>
        <v>5.1986</v>
      </c>
      <c r="BB26" s="36">
        <f t="shared" si="22"/>
        <v>7.7978999999999985</v>
      </c>
      <c r="BC26" s="36">
        <f t="shared" si="22"/>
        <v>2.5993</v>
      </c>
      <c r="BD26" s="202"/>
      <c r="BE26" s="36">
        <f t="shared" si="23"/>
        <v>7.7978999999999985</v>
      </c>
      <c r="BF26" s="36"/>
      <c r="BG26" s="36"/>
      <c r="BH26" s="36">
        <f t="shared" si="24"/>
        <v>7.7978999999999985</v>
      </c>
      <c r="BI26" s="36">
        <f t="shared" si="25"/>
        <v>2.5993</v>
      </c>
      <c r="BJ26" s="36">
        <f t="shared" si="26"/>
        <v>3.8989499999999992</v>
      </c>
      <c r="BK26" s="36">
        <f t="shared" si="27"/>
        <v>1.29965</v>
      </c>
      <c r="BL26" s="161"/>
      <c r="BN26" s="144">
        <f t="shared" si="10"/>
        <v>0</v>
      </c>
      <c r="BO26" s="144">
        <f t="shared" si="3"/>
        <v>0</v>
      </c>
      <c r="BP26" s="144">
        <f t="shared" si="4"/>
        <v>0</v>
      </c>
      <c r="BQ26" s="144">
        <f t="shared" si="11"/>
        <v>0</v>
      </c>
      <c r="BR26" s="144">
        <f t="shared" si="12"/>
        <v>0</v>
      </c>
      <c r="BS26" s="144">
        <f t="shared" si="13"/>
        <v>0</v>
      </c>
      <c r="BT26" s="144">
        <f t="shared" si="14"/>
        <v>-2.220446049250313E-16</v>
      </c>
      <c r="BU26" s="144">
        <f t="shared" si="5"/>
        <v>0</v>
      </c>
      <c r="BV26" s="144">
        <f t="shared" si="15"/>
        <v>-2.220446049250313E-16</v>
      </c>
      <c r="BW26" s="144">
        <f t="shared" si="6"/>
        <v>0</v>
      </c>
      <c r="BX26" s="144">
        <f t="shared" si="7"/>
        <v>-2.220446049250313E-16</v>
      </c>
      <c r="BY26" s="144">
        <f t="shared" si="8"/>
        <v>0</v>
      </c>
    </row>
    <row r="27" spans="1:77" s="34" customFormat="1" ht="18.75">
      <c r="A27" s="66" t="s">
        <v>136</v>
      </c>
      <c r="B27" s="134" t="s">
        <v>127</v>
      </c>
      <c r="C27" s="135"/>
      <c r="D27" s="136"/>
      <c r="E27" s="136"/>
      <c r="F27" s="136"/>
      <c r="G27" s="132"/>
      <c r="H27" s="36"/>
      <c r="I27" s="59"/>
      <c r="J27" s="59"/>
      <c r="K27" s="36"/>
      <c r="L27" s="59"/>
      <c r="M27" s="36"/>
      <c r="N27" s="36"/>
      <c r="O27" s="36"/>
      <c r="P27" s="36"/>
      <c r="Q27" s="160"/>
      <c r="R27" s="160"/>
      <c r="S27" s="160"/>
      <c r="T27" s="160"/>
      <c r="U27" s="160"/>
      <c r="V27" s="160"/>
      <c r="W27" s="160"/>
      <c r="X27" s="160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203"/>
      <c r="BE27" s="36"/>
      <c r="BF27" s="36"/>
      <c r="BG27" s="36"/>
      <c r="BH27" s="36"/>
      <c r="BI27" s="36"/>
      <c r="BJ27" s="36"/>
      <c r="BK27" s="36"/>
      <c r="BL27" s="162"/>
      <c r="BM27" s="1"/>
      <c r="BN27" s="144">
        <f t="shared" si="10"/>
        <v>0</v>
      </c>
      <c r="BO27" s="144">
        <f t="shared" si="3"/>
        <v>0</v>
      </c>
      <c r="BP27" s="144">
        <f t="shared" si="4"/>
        <v>0</v>
      </c>
      <c r="BQ27" s="144">
        <f t="shared" si="11"/>
        <v>0</v>
      </c>
      <c r="BR27" s="144">
        <f t="shared" si="12"/>
        <v>0</v>
      </c>
      <c r="BS27" s="144">
        <f t="shared" si="13"/>
        <v>0</v>
      </c>
      <c r="BT27" s="144">
        <f t="shared" si="14"/>
        <v>0</v>
      </c>
      <c r="BU27" s="144">
        <f t="shared" si="5"/>
        <v>0</v>
      </c>
      <c r="BV27" s="144">
        <f t="shared" si="15"/>
        <v>0</v>
      </c>
      <c r="BW27" s="144">
        <f t="shared" si="6"/>
        <v>0</v>
      </c>
      <c r="BX27" s="144">
        <f t="shared" si="7"/>
        <v>0</v>
      </c>
      <c r="BY27" s="144">
        <f t="shared" si="8"/>
        <v>0</v>
      </c>
    </row>
    <row r="28" spans="1:77" s="34" customFormat="1" ht="15.75">
      <c r="A28" s="67" t="s">
        <v>111</v>
      </c>
      <c r="B28" s="128" t="s">
        <v>115</v>
      </c>
      <c r="C28" s="125" t="s">
        <v>177</v>
      </c>
      <c r="D28" s="40">
        <v>2021</v>
      </c>
      <c r="E28" s="40">
        <v>2023</v>
      </c>
      <c r="F28" s="40">
        <v>2023</v>
      </c>
      <c r="G28" s="132"/>
      <c r="H28" s="36">
        <v>804.99897626</v>
      </c>
      <c r="I28" s="59">
        <v>44300</v>
      </c>
      <c r="J28" s="59"/>
      <c r="K28" s="36">
        <f>278.79967157+178.195632+257.92801256</f>
        <v>714.92331613</v>
      </c>
      <c r="L28" s="59">
        <v>44300</v>
      </c>
      <c r="M28" s="36">
        <f>T28+AB28+AR28</f>
        <v>836.17385216</v>
      </c>
      <c r="N28" s="36">
        <f t="shared" si="9"/>
        <v>735.65671565</v>
      </c>
      <c r="O28" s="36">
        <f>M28</f>
        <v>836.17385216</v>
      </c>
      <c r="P28" s="36">
        <f>AG28+AO28+Q28</f>
        <v>735.65671565</v>
      </c>
      <c r="Q28" s="160">
        <f>T28</f>
        <v>278.79967157</v>
      </c>
      <c r="R28" s="160"/>
      <c r="S28" s="160"/>
      <c r="T28" s="36">
        <v>278.79967157</v>
      </c>
      <c r="U28" s="160">
        <v>5.56853740369281</v>
      </c>
      <c r="V28" s="160">
        <f>T28-U28-W28</f>
        <v>226.76452223797384</v>
      </c>
      <c r="W28" s="160">
        <f>T28/1.2*0.2</f>
        <v>46.466611928333336</v>
      </c>
      <c r="X28" s="160"/>
      <c r="Y28" s="36">
        <f>AB28</f>
        <v>278.71276851</v>
      </c>
      <c r="Z28" s="36"/>
      <c r="AA28" s="36"/>
      <c r="AB28" s="36">
        <v>278.71276851</v>
      </c>
      <c r="AC28" s="36">
        <v>44.2602819095796</v>
      </c>
      <c r="AD28" s="36">
        <f>AB28-AC28-AE28</f>
        <v>188.0003585154204</v>
      </c>
      <c r="AE28" s="36">
        <f>AB28/1.2*0.2</f>
        <v>46.452128085</v>
      </c>
      <c r="AF28" s="36"/>
      <c r="AG28" s="36">
        <f>AJ28</f>
        <v>178.195632</v>
      </c>
      <c r="AH28" s="36"/>
      <c r="AI28" s="36"/>
      <c r="AJ28" s="36">
        <f>AK28+AL28+AM28</f>
        <v>178.195632</v>
      </c>
      <c r="AK28" s="36">
        <v>41.75268</v>
      </c>
      <c r="AL28" s="36">
        <v>106.74368</v>
      </c>
      <c r="AM28" s="36">
        <v>29.699272</v>
      </c>
      <c r="AN28" s="36"/>
      <c r="AO28" s="36">
        <f>AR28</f>
        <v>278.66141208</v>
      </c>
      <c r="AP28" s="36"/>
      <c r="AQ28" s="36"/>
      <c r="AR28" s="36">
        <v>278.66141208</v>
      </c>
      <c r="AS28" s="36">
        <v>76.4006347479743</v>
      </c>
      <c r="AT28" s="36">
        <f>AR28-AS28-AU28</f>
        <v>155.8172086520257</v>
      </c>
      <c r="AU28" s="36">
        <f>AR28/1.2*0.2</f>
        <v>46.44356868</v>
      </c>
      <c r="AV28" s="36"/>
      <c r="AW28" s="36">
        <f t="shared" si="21"/>
        <v>836.1738521599998</v>
      </c>
      <c r="AX28" s="36"/>
      <c r="AY28" s="36"/>
      <c r="AZ28" s="36">
        <f t="shared" si="28"/>
        <v>836.1738521599998</v>
      </c>
      <c r="BA28" s="36">
        <f>U28+AC28+AS28</f>
        <v>126.2294540612467</v>
      </c>
      <c r="BB28" s="36">
        <f>V28+AD28+AT28</f>
        <v>570.5820894054199</v>
      </c>
      <c r="BC28" s="36">
        <f>W28+AE28+AU28</f>
        <v>139.36230869333332</v>
      </c>
      <c r="BD28" s="202"/>
      <c r="BE28" s="36">
        <f>SUM(BF28:BH28)+BL28</f>
        <v>735.6567156499999</v>
      </c>
      <c r="BF28" s="36"/>
      <c r="BG28" s="36"/>
      <c r="BH28" s="36">
        <f>SUM(BI28:BK28)</f>
        <v>735.6567156499999</v>
      </c>
      <c r="BI28" s="36">
        <f>U28+AK28+AS28</f>
        <v>123.7218521516671</v>
      </c>
      <c r="BJ28" s="36">
        <f>V28+AL28+AT28</f>
        <v>489.3254108899995</v>
      </c>
      <c r="BK28" s="36">
        <f>W28+AM28+AU28</f>
        <v>122.60945260833333</v>
      </c>
      <c r="BL28" s="161"/>
      <c r="BM28" s="1"/>
      <c r="BN28" s="144">
        <f t="shared" si="10"/>
        <v>0</v>
      </c>
      <c r="BO28" s="144">
        <f t="shared" si="3"/>
        <v>0</v>
      </c>
      <c r="BP28" s="144">
        <f t="shared" si="4"/>
        <v>0</v>
      </c>
      <c r="BQ28" s="144">
        <f t="shared" si="11"/>
        <v>0</v>
      </c>
      <c r="BR28" s="144">
        <f t="shared" si="12"/>
        <v>1.4210854715202004E-14</v>
      </c>
      <c r="BS28" s="144">
        <f t="shared" si="13"/>
        <v>0</v>
      </c>
      <c r="BT28" s="144">
        <f t="shared" si="14"/>
        <v>0</v>
      </c>
      <c r="BU28" s="144">
        <f t="shared" si="5"/>
        <v>0</v>
      </c>
      <c r="BV28" s="144">
        <f t="shared" si="15"/>
        <v>0</v>
      </c>
      <c r="BW28" s="144">
        <f t="shared" si="6"/>
        <v>0</v>
      </c>
      <c r="BX28" s="144">
        <f t="shared" si="7"/>
        <v>0</v>
      </c>
      <c r="BY28" s="144">
        <f t="shared" si="8"/>
        <v>0</v>
      </c>
    </row>
    <row r="29" spans="1:77" s="34" customFormat="1" ht="18.75">
      <c r="A29" s="66" t="s">
        <v>134</v>
      </c>
      <c r="B29" s="142" t="s">
        <v>126</v>
      </c>
      <c r="C29" s="35"/>
      <c r="D29" s="40"/>
      <c r="E29" s="40"/>
      <c r="F29" s="40"/>
      <c r="G29" s="132"/>
      <c r="H29" s="36"/>
      <c r="I29" s="59"/>
      <c r="J29" s="59"/>
      <c r="K29" s="59"/>
      <c r="L29" s="59"/>
      <c r="M29" s="36"/>
      <c r="N29" s="36"/>
      <c r="O29" s="36"/>
      <c r="P29" s="36"/>
      <c r="Q29" s="160"/>
      <c r="R29" s="160"/>
      <c r="S29" s="160"/>
      <c r="T29" s="160"/>
      <c r="U29" s="160"/>
      <c r="V29" s="160"/>
      <c r="W29" s="160"/>
      <c r="X29" s="160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203"/>
      <c r="BE29" s="36"/>
      <c r="BF29" s="36"/>
      <c r="BG29" s="36"/>
      <c r="BH29" s="36"/>
      <c r="BI29" s="36"/>
      <c r="BJ29" s="36"/>
      <c r="BK29" s="36"/>
      <c r="BL29" s="162"/>
      <c r="BM29" s="1"/>
      <c r="BN29" s="144">
        <f t="shared" si="10"/>
        <v>0</v>
      </c>
      <c r="BO29" s="144">
        <f t="shared" si="3"/>
        <v>0</v>
      </c>
      <c r="BP29" s="144">
        <f t="shared" si="4"/>
        <v>0</v>
      </c>
      <c r="BQ29" s="144">
        <f t="shared" si="11"/>
        <v>0</v>
      </c>
      <c r="BR29" s="144">
        <f t="shared" si="12"/>
        <v>0</v>
      </c>
      <c r="BS29" s="144">
        <f t="shared" si="13"/>
        <v>0</v>
      </c>
      <c r="BT29" s="144">
        <f t="shared" si="14"/>
        <v>0</v>
      </c>
      <c r="BU29" s="144">
        <f t="shared" si="5"/>
        <v>0</v>
      </c>
      <c r="BV29" s="144">
        <f t="shared" si="15"/>
        <v>0</v>
      </c>
      <c r="BW29" s="144">
        <f t="shared" si="6"/>
        <v>0</v>
      </c>
      <c r="BX29" s="144">
        <f t="shared" si="7"/>
        <v>0</v>
      </c>
      <c r="BY29" s="144">
        <f t="shared" si="8"/>
        <v>0</v>
      </c>
    </row>
    <row r="30" spans="1:77" ht="15.75">
      <c r="A30" s="67" t="s">
        <v>135</v>
      </c>
      <c r="B30" s="37" t="s">
        <v>181</v>
      </c>
      <c r="C30" s="125" t="s">
        <v>182</v>
      </c>
      <c r="D30" s="40">
        <v>2022</v>
      </c>
      <c r="E30" s="40">
        <v>2022</v>
      </c>
      <c r="F30" s="40"/>
      <c r="G30" s="36"/>
      <c r="H30" s="36">
        <v>27.308</v>
      </c>
      <c r="I30" s="59">
        <v>44300</v>
      </c>
      <c r="J30" s="59"/>
      <c r="K30" s="59"/>
      <c r="L30" s="59"/>
      <c r="M30" s="36">
        <f>H30</f>
        <v>27.308</v>
      </c>
      <c r="N30" s="36"/>
      <c r="O30" s="36">
        <f>M30</f>
        <v>27.308</v>
      </c>
      <c r="P30" s="36"/>
      <c r="Q30" s="160">
        <f>SUM(R30:T30)+X30</f>
        <v>0</v>
      </c>
      <c r="R30" s="160"/>
      <c r="S30" s="160"/>
      <c r="T30" s="160"/>
      <c r="U30" s="160"/>
      <c r="V30" s="160"/>
      <c r="W30" s="160"/>
      <c r="X30" s="160"/>
      <c r="Y30" s="36">
        <f>SUM(Z30:AB30)+AF30</f>
        <v>27.308</v>
      </c>
      <c r="Z30" s="36"/>
      <c r="AA30" s="36"/>
      <c r="AB30" s="36">
        <f>H30</f>
        <v>27.308</v>
      </c>
      <c r="AC30" s="36"/>
      <c r="AD30" s="36">
        <f>AB30-AC30-AE30</f>
        <v>22.756666666666668</v>
      </c>
      <c r="AE30" s="36">
        <f>AB30/1.2*0.2</f>
        <v>4.551333333333334</v>
      </c>
      <c r="AF30" s="36"/>
      <c r="AG30" s="36"/>
      <c r="AH30" s="36"/>
      <c r="AI30" s="36"/>
      <c r="AJ30" s="36"/>
      <c r="AK30" s="36"/>
      <c r="AL30" s="36"/>
      <c r="AM30" s="36"/>
      <c r="AN30" s="36"/>
      <c r="AO30" s="36">
        <f>SUM(AP30:AR30)+AV30</f>
        <v>0</v>
      </c>
      <c r="AP30" s="36"/>
      <c r="AQ30" s="36"/>
      <c r="AR30" s="36"/>
      <c r="AS30" s="36"/>
      <c r="AT30" s="36"/>
      <c r="AU30" s="36"/>
      <c r="AV30" s="36"/>
      <c r="AW30" s="36">
        <f t="shared" si="21"/>
        <v>27.308</v>
      </c>
      <c r="AX30" s="36"/>
      <c r="AY30" s="36"/>
      <c r="AZ30" s="36">
        <f t="shared" si="28"/>
        <v>27.308</v>
      </c>
      <c r="BA30" s="36">
        <f>U30+AC30+AS30</f>
        <v>0</v>
      </c>
      <c r="BB30" s="36">
        <f>V30+AD30+AT30</f>
        <v>22.756666666666668</v>
      </c>
      <c r="BC30" s="36">
        <f>W30+AE30+AU30</f>
        <v>4.551333333333334</v>
      </c>
      <c r="BD30" s="202"/>
      <c r="BE30" s="36">
        <f>SUM(BF30:BH30)+BL30</f>
        <v>0</v>
      </c>
      <c r="BF30" s="36"/>
      <c r="BG30" s="36"/>
      <c r="BH30" s="36">
        <f>SUM(BI30:BK30)</f>
        <v>0</v>
      </c>
      <c r="BI30" s="36">
        <f>U30+AK30+AS30</f>
        <v>0</v>
      </c>
      <c r="BJ30" s="36">
        <f>V30+AL30+AT30</f>
        <v>0</v>
      </c>
      <c r="BK30" s="36">
        <f>W30+AM30+AU30</f>
        <v>0</v>
      </c>
      <c r="BL30" s="161"/>
      <c r="BN30" s="144">
        <f t="shared" si="10"/>
        <v>0</v>
      </c>
      <c r="BO30" s="144">
        <f t="shared" si="3"/>
        <v>0</v>
      </c>
      <c r="BP30" s="144">
        <f t="shared" si="4"/>
        <v>0</v>
      </c>
      <c r="BQ30" s="144">
        <f t="shared" si="11"/>
        <v>0</v>
      </c>
      <c r="BR30" s="144">
        <f t="shared" si="12"/>
        <v>0</v>
      </c>
      <c r="BS30" s="144">
        <f t="shared" si="13"/>
        <v>0</v>
      </c>
      <c r="BT30" s="144">
        <f t="shared" si="14"/>
        <v>-1.7763568394002505E-15</v>
      </c>
      <c r="BU30" s="144">
        <f t="shared" si="5"/>
        <v>0</v>
      </c>
      <c r="BV30" s="144">
        <f t="shared" si="15"/>
        <v>-1.7763568394002505E-15</v>
      </c>
      <c r="BW30" s="144">
        <f t="shared" si="6"/>
        <v>0</v>
      </c>
      <c r="BX30" s="144">
        <f t="shared" si="7"/>
        <v>0</v>
      </c>
      <c r="BY30" s="144">
        <f t="shared" si="8"/>
        <v>0</v>
      </c>
    </row>
    <row r="31" spans="1:77" ht="17.25" thickBot="1">
      <c r="A31" s="212"/>
      <c r="B31" s="213"/>
      <c r="C31" s="231"/>
      <c r="D31" s="232"/>
      <c r="E31" s="232"/>
      <c r="F31" s="232"/>
      <c r="G31" s="233"/>
      <c r="H31" s="233"/>
      <c r="I31" s="234"/>
      <c r="J31" s="234"/>
      <c r="K31" s="234"/>
      <c r="L31" s="234"/>
      <c r="M31" s="233"/>
      <c r="N31" s="233"/>
      <c r="O31" s="233"/>
      <c r="P31" s="233"/>
      <c r="Q31" s="235"/>
      <c r="R31" s="235"/>
      <c r="S31" s="235"/>
      <c r="T31" s="235"/>
      <c r="U31" s="235"/>
      <c r="V31" s="235"/>
      <c r="W31" s="235"/>
      <c r="X31" s="235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  <c r="AJ31" s="233"/>
      <c r="AK31" s="233"/>
      <c r="AL31" s="233"/>
      <c r="AM31" s="233"/>
      <c r="AN31" s="233"/>
      <c r="AO31" s="233"/>
      <c r="AP31" s="233"/>
      <c r="AQ31" s="233"/>
      <c r="AR31" s="236"/>
      <c r="AS31" s="233"/>
      <c r="AT31" s="233"/>
      <c r="AU31" s="233"/>
      <c r="AV31" s="233"/>
      <c r="AW31" s="233"/>
      <c r="AX31" s="233"/>
      <c r="AY31" s="233"/>
      <c r="AZ31" s="233"/>
      <c r="BA31" s="233"/>
      <c r="BB31" s="233"/>
      <c r="BC31" s="233"/>
      <c r="BD31" s="237"/>
      <c r="BE31" s="233"/>
      <c r="BF31" s="233"/>
      <c r="BG31" s="233"/>
      <c r="BH31" s="233"/>
      <c r="BI31" s="233"/>
      <c r="BJ31" s="233"/>
      <c r="BK31" s="233"/>
      <c r="BL31" s="238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</row>
    <row r="32" spans="1:77" s="34" customFormat="1" ht="16.5" thickBot="1">
      <c r="A32" s="225"/>
      <c r="B32" s="226" t="s">
        <v>141</v>
      </c>
      <c r="C32" s="227"/>
      <c r="D32" s="228"/>
      <c r="E32" s="228"/>
      <c r="F32" s="228"/>
      <c r="G32" s="229"/>
      <c r="H32" s="229">
        <f>SUM(H13:H31)</f>
        <v>888.4594728934699</v>
      </c>
      <c r="I32" s="229"/>
      <c r="J32" s="229"/>
      <c r="K32" s="229">
        <f>SUM(K13:K31)</f>
        <v>742.2664845823754</v>
      </c>
      <c r="L32" s="229"/>
      <c r="M32" s="229">
        <f>SUM(M13:M31)</f>
        <v>919.8937503934699</v>
      </c>
      <c r="N32" s="229">
        <f>SUM(N13:N31)</f>
        <v>763.1692857023754</v>
      </c>
      <c r="O32" s="229">
        <f>SUM(O13:O31)</f>
        <v>919.8937503934699</v>
      </c>
      <c r="P32" s="229">
        <f>SUM(P13:P31)</f>
        <v>763.1692857023754</v>
      </c>
      <c r="Q32" s="229">
        <f>SUM(Q13:Q31)</f>
        <v>278.79967157</v>
      </c>
      <c r="R32" s="229"/>
      <c r="S32" s="229"/>
      <c r="T32" s="229">
        <f>SUM(T13:T31)</f>
        <v>278.79967157</v>
      </c>
      <c r="U32" s="229">
        <f>SUM(U13:U31)</f>
        <v>5.56853740369281</v>
      </c>
      <c r="V32" s="229">
        <f>SUM(V13:V31)</f>
        <v>226.76452223797384</v>
      </c>
      <c r="W32" s="229">
        <f>SUM(W13:W31)</f>
        <v>46.466611928333336</v>
      </c>
      <c r="X32" s="229"/>
      <c r="Y32" s="229">
        <f>SUM(Y13:Y31)</f>
        <v>334.9200966910945</v>
      </c>
      <c r="Z32" s="229"/>
      <c r="AA32" s="229"/>
      <c r="AB32" s="229">
        <f>SUM(AB13:AB31)</f>
        <v>334.9200966910945</v>
      </c>
      <c r="AC32" s="229">
        <f>SUM(AC13:AC31)</f>
        <v>61.4904689195796</v>
      </c>
      <c r="AD32" s="229">
        <f>SUM(AD13:AD31)</f>
        <v>217.60961165633248</v>
      </c>
      <c r="AE32" s="229">
        <f>SUM(AE13:AE31)</f>
        <v>55.82001611518241</v>
      </c>
      <c r="AF32" s="229"/>
      <c r="AG32" s="229">
        <f>SUM(AG13:AG31)</f>
        <v>178.195632</v>
      </c>
      <c r="AH32" s="229"/>
      <c r="AI32" s="229"/>
      <c r="AJ32" s="229">
        <f>SUM(AJ13:AJ31)</f>
        <v>178.195632</v>
      </c>
      <c r="AK32" s="229">
        <f>SUM(AK13:AK31)</f>
        <v>41.75268</v>
      </c>
      <c r="AL32" s="229">
        <f>SUM(AL13:AL31)</f>
        <v>106.74368</v>
      </c>
      <c r="AM32" s="229">
        <f>SUM(AM13:AM31)</f>
        <v>29.699272</v>
      </c>
      <c r="AN32" s="229"/>
      <c r="AO32" s="229">
        <f>SUM(AO13:AO31)</f>
        <v>306.1739821323754</v>
      </c>
      <c r="AP32" s="229"/>
      <c r="AQ32" s="229"/>
      <c r="AR32" s="229">
        <f>SUM(AR13:AR31)</f>
        <v>306.1739821323754</v>
      </c>
      <c r="AS32" s="229">
        <f>SUM(AS13:AS31)</f>
        <v>95.37438445828712</v>
      </c>
      <c r="AT32" s="229">
        <f>SUM(AT13:AT31)</f>
        <v>159.7706006520257</v>
      </c>
      <c r="AU32" s="229">
        <f>SUM(AU13:AU31)</f>
        <v>51.02899702206257</v>
      </c>
      <c r="AV32" s="229"/>
      <c r="AW32" s="229">
        <f aca="true" t="shared" si="29" ref="AW32:BC32">SUM(AW13:AW31)</f>
        <v>919.8937503934696</v>
      </c>
      <c r="AX32" s="229">
        <f t="shared" si="29"/>
        <v>0</v>
      </c>
      <c r="AY32" s="229">
        <f t="shared" si="29"/>
        <v>0</v>
      </c>
      <c r="AZ32" s="229">
        <f t="shared" si="29"/>
        <v>919.8937503934696</v>
      </c>
      <c r="BA32" s="229">
        <f t="shared" si="29"/>
        <v>162.43339078155952</v>
      </c>
      <c r="BB32" s="229">
        <f t="shared" si="29"/>
        <v>604.144734546332</v>
      </c>
      <c r="BC32" s="229">
        <f t="shared" si="29"/>
        <v>153.3156250655783</v>
      </c>
      <c r="BD32" s="230"/>
      <c r="BE32" s="229">
        <f aca="true" t="shared" si="30" ref="BE32:BK32">SUM(BE13:BE31)</f>
        <v>763.1692857023753</v>
      </c>
      <c r="BF32" s="229">
        <f t="shared" si="30"/>
        <v>0</v>
      </c>
      <c r="BG32" s="229">
        <f t="shared" si="30"/>
        <v>0</v>
      </c>
      <c r="BH32" s="229">
        <f t="shared" si="30"/>
        <v>763.1692857023753</v>
      </c>
      <c r="BI32" s="229">
        <f t="shared" si="30"/>
        <v>142.69560186197992</v>
      </c>
      <c r="BJ32" s="229">
        <f t="shared" si="30"/>
        <v>493.2788028899995</v>
      </c>
      <c r="BK32" s="229">
        <f t="shared" si="30"/>
        <v>127.1948809503959</v>
      </c>
      <c r="BL32" s="239"/>
      <c r="BM32" s="1"/>
      <c r="BN32" s="144">
        <f>M32-Y32-AO32-Q32</f>
        <v>0</v>
      </c>
      <c r="BO32" s="144">
        <f t="shared" si="3"/>
        <v>0</v>
      </c>
      <c r="BP32" s="144">
        <f t="shared" si="4"/>
        <v>0</v>
      </c>
      <c r="BQ32" s="144">
        <f>Q32-R32-S32-T32</f>
        <v>0</v>
      </c>
      <c r="BR32" s="144">
        <f>T32-U32-V32-W32-X32</f>
        <v>1.4210854715202004E-14</v>
      </c>
      <c r="BS32" s="144">
        <f>Y32-Z32-AA32-AB32</f>
        <v>0</v>
      </c>
      <c r="BT32" s="144">
        <f>AB32-AC32-AD32-AE32-AF32</f>
        <v>1.4210854715202004E-14</v>
      </c>
      <c r="BU32" s="144">
        <f t="shared" si="5"/>
        <v>0</v>
      </c>
      <c r="BV32" s="144">
        <f>AB32-AC32-AD32-AE32-AF32</f>
        <v>1.4210854715202004E-14</v>
      </c>
      <c r="BW32" s="144">
        <f t="shared" si="6"/>
        <v>0</v>
      </c>
      <c r="BX32" s="144">
        <f t="shared" si="7"/>
        <v>-1.4210854715202004E-14</v>
      </c>
      <c r="BY32" s="144">
        <f t="shared" si="8"/>
        <v>0</v>
      </c>
    </row>
    <row r="33" spans="1:64" ht="18.75">
      <c r="A33" s="253"/>
      <c r="B33" s="253"/>
      <c r="C33" s="39"/>
      <c r="D33" s="39"/>
      <c r="E33" s="39"/>
      <c r="F33" s="39"/>
      <c r="G33" s="39"/>
      <c r="H33" s="176"/>
      <c r="I33" s="176"/>
      <c r="J33" s="176"/>
      <c r="K33" s="176"/>
      <c r="L33" s="176"/>
      <c r="M33" s="50"/>
      <c r="N33" s="50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</row>
    <row r="34" spans="1:55" ht="28.5" customHeight="1">
      <c r="A34" s="255"/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55"/>
      <c r="AL34" s="255"/>
      <c r="AM34" s="255"/>
      <c r="AN34" s="255"/>
      <c r="AO34" s="255"/>
      <c r="AP34" s="255"/>
      <c r="AQ34" s="255"/>
      <c r="AS34" s="43"/>
      <c r="AT34" s="43"/>
      <c r="AU34" s="43"/>
      <c r="AV34" s="39"/>
      <c r="AW34" s="39"/>
      <c r="BA34" s="1"/>
      <c r="BB34" s="1"/>
      <c r="BC34" s="1"/>
    </row>
    <row r="35" spans="1:55" ht="23.25" customHeight="1">
      <c r="A35" s="10"/>
      <c r="B35" s="10"/>
      <c r="C35" s="10"/>
      <c r="D35" s="10"/>
      <c r="E35" s="10"/>
      <c r="F35" s="10"/>
      <c r="G35" s="10"/>
      <c r="H35" s="177"/>
      <c r="I35" s="10"/>
      <c r="J35" s="10"/>
      <c r="K35" s="10"/>
      <c r="L35" s="10"/>
      <c r="M35" s="10"/>
      <c r="N35" s="10"/>
      <c r="O35" s="10"/>
      <c r="P35" s="10"/>
      <c r="Q35" s="39"/>
      <c r="U35" s="43"/>
      <c r="V35" s="43"/>
      <c r="W35" s="43"/>
      <c r="Y35" s="39"/>
      <c r="AC35" s="43"/>
      <c r="AD35" s="43"/>
      <c r="AE35" s="43"/>
      <c r="AO35" s="39"/>
      <c r="AS35" s="43"/>
      <c r="AT35" s="43"/>
      <c r="AU35" s="43"/>
      <c r="AZ35" s="39"/>
      <c r="BA35" s="39"/>
      <c r="BB35" s="1"/>
      <c r="BC35" s="1"/>
    </row>
    <row r="36" spans="3:55" ht="16.5" customHeight="1">
      <c r="C36" s="10"/>
      <c r="H36" s="102"/>
      <c r="M36" s="102"/>
      <c r="N36" s="102"/>
      <c r="Q36" s="102"/>
      <c r="U36" s="43"/>
      <c r="V36" s="43"/>
      <c r="W36" s="43"/>
      <c r="Y36" s="102"/>
      <c r="AC36" s="103"/>
      <c r="AD36" s="43"/>
      <c r="AE36" s="43"/>
      <c r="AO36" s="102"/>
      <c r="AS36" s="43"/>
      <c r="AT36" s="43"/>
      <c r="AU36" s="43"/>
      <c r="AW36" s="39"/>
      <c r="AZ36" s="102"/>
      <c r="BA36" s="1"/>
      <c r="BB36" s="1"/>
      <c r="BC36" s="1"/>
    </row>
    <row r="37" spans="3:55" ht="15.75">
      <c r="C37" s="10"/>
      <c r="H37" s="102"/>
      <c r="M37" s="102"/>
      <c r="N37" s="102"/>
      <c r="Q37" s="102"/>
      <c r="U37" s="1"/>
      <c r="V37" s="1"/>
      <c r="W37" s="1"/>
      <c r="X37" s="39"/>
      <c r="Y37" s="102"/>
      <c r="AC37" s="39"/>
      <c r="AD37" s="1"/>
      <c r="AE37" s="1"/>
      <c r="AO37" s="102"/>
      <c r="AS37" s="39"/>
      <c r="AT37" s="39"/>
      <c r="AU37" s="1"/>
      <c r="AZ37" s="102"/>
      <c r="BA37" s="1"/>
      <c r="BB37" s="1"/>
      <c r="BC37" s="1"/>
    </row>
    <row r="38" spans="2:64" ht="18" customHeight="1">
      <c r="B38" s="10"/>
      <c r="C38" s="10"/>
      <c r="D38" s="10"/>
      <c r="E38" s="10"/>
      <c r="F38" s="10"/>
      <c r="G38" s="10"/>
      <c r="H38" s="152">
        <f>H32-H30-H28-H26-H25-H24-H23-H22-H21-H20-H18-H17-H16-H15-H14</f>
        <v>2.3564483697668948E-14</v>
      </c>
      <c r="I38" s="133"/>
      <c r="J38" s="133"/>
      <c r="K38" s="152">
        <f>K32-K30-K28-K26-K25-K24-K23-K22-K21-K20-K18-K17-K16-K15-K14</f>
        <v>-1.887379141862766E-14</v>
      </c>
      <c r="L38" s="133"/>
      <c r="M38" s="152">
        <f aca="true" t="shared" si="31" ref="M38:BL38">M32-M30-M28-M26-M25-M24-M23-M22-M21-M20-M18-M17-M16-M15-M14</f>
        <v>-4.39648317751562E-14</v>
      </c>
      <c r="N38" s="152">
        <f>N32-N30-N28-N26-N25-N24-N23-N22-N21-N20-N18-N17-N16-N15-N14</f>
        <v>-4.218847493575595E-15</v>
      </c>
      <c r="O38" s="152">
        <f t="shared" si="31"/>
        <v>-4.39648317751562E-14</v>
      </c>
      <c r="P38" s="152">
        <f>P32-P30-P28-P26-P25-P24-P23-P22-P21-P20-P18-P17-P16-P15-P14</f>
        <v>-4.218847493575595E-15</v>
      </c>
      <c r="Q38" s="152">
        <f t="shared" si="31"/>
        <v>0</v>
      </c>
      <c r="R38" s="152">
        <f t="shared" si="31"/>
        <v>0</v>
      </c>
      <c r="S38" s="152">
        <f t="shared" si="31"/>
        <v>0</v>
      </c>
      <c r="T38" s="152">
        <f t="shared" si="31"/>
        <v>0</v>
      </c>
      <c r="U38" s="152">
        <f t="shared" si="31"/>
        <v>0</v>
      </c>
      <c r="V38" s="152">
        <f t="shared" si="31"/>
        <v>0</v>
      </c>
      <c r="W38" s="152">
        <f t="shared" si="31"/>
        <v>0</v>
      </c>
      <c r="X38" s="152">
        <f t="shared" si="31"/>
        <v>0</v>
      </c>
      <c r="Y38" s="152">
        <f t="shared" si="31"/>
        <v>2.1094237467877974E-14</v>
      </c>
      <c r="Z38" s="152">
        <f t="shared" si="31"/>
        <v>0</v>
      </c>
      <c r="AA38" s="152">
        <f t="shared" si="31"/>
        <v>0</v>
      </c>
      <c r="AB38" s="152">
        <f t="shared" si="31"/>
        <v>2.1094237467877974E-14</v>
      </c>
      <c r="AC38" s="152">
        <f t="shared" si="31"/>
        <v>2.8033131371785203E-15</v>
      </c>
      <c r="AD38" s="152">
        <f t="shared" si="31"/>
        <v>-1.3322676295501878E-15</v>
      </c>
      <c r="AE38" s="152">
        <f t="shared" si="31"/>
        <v>-1.9012569296705806E-15</v>
      </c>
      <c r="AF38" s="152">
        <f t="shared" si="31"/>
        <v>0</v>
      </c>
      <c r="AG38" s="152"/>
      <c r="AH38" s="152"/>
      <c r="AI38" s="152"/>
      <c r="AJ38" s="152">
        <f>AJ32-AJ30-AJ28-AJ26-AJ25-AJ24-AJ23-AJ22-AJ21-AJ20-AJ18-AJ17-AJ16-AJ15-AJ14</f>
        <v>0</v>
      </c>
      <c r="AK38" s="152">
        <f>AK32-AK30-AK28-AK26-AK25-AK24-AK23-AK22-AK21-AK20-AK18-AK17-AK16-AK15-AK14</f>
        <v>0</v>
      </c>
      <c r="AL38" s="152">
        <f>AL32-AL30-AL28-AL26-AL25-AL24-AL23-AL22-AL21-AL20-AL18-AL17-AL16-AL15-AL14</f>
        <v>0</v>
      </c>
      <c r="AM38" s="152">
        <f>AM32-AM30-AM28-AM26-AM25-AM24-AM23-AM22-AM21-AM20-AM18-AM17-AM16-AM15-AM14</f>
        <v>0</v>
      </c>
      <c r="AN38" s="152"/>
      <c r="AO38" s="152">
        <f t="shared" si="31"/>
        <v>-4.218847493575595E-15</v>
      </c>
      <c r="AP38" s="152">
        <f t="shared" si="31"/>
        <v>0</v>
      </c>
      <c r="AQ38" s="152">
        <f t="shared" si="31"/>
        <v>0</v>
      </c>
      <c r="AR38" s="152">
        <f t="shared" si="31"/>
        <v>-4.218847493575595E-15</v>
      </c>
      <c r="AS38" s="152">
        <f t="shared" si="31"/>
        <v>-1.9984014443252818E-15</v>
      </c>
      <c r="AT38" s="152">
        <f t="shared" si="31"/>
        <v>8.715250743307479E-15</v>
      </c>
      <c r="AU38" s="152">
        <f t="shared" si="31"/>
        <v>3.4139358007223564E-15</v>
      </c>
      <c r="AV38" s="152">
        <f t="shared" si="31"/>
        <v>0</v>
      </c>
      <c r="AW38" s="152">
        <f t="shared" si="31"/>
        <v>-4.263256414560601E-14</v>
      </c>
      <c r="AX38" s="152">
        <f t="shared" si="31"/>
        <v>0</v>
      </c>
      <c r="AY38" s="152">
        <f t="shared" si="31"/>
        <v>0</v>
      </c>
      <c r="AZ38" s="152">
        <f t="shared" si="31"/>
        <v>-4.263256414560601E-14</v>
      </c>
      <c r="BA38" s="152">
        <f t="shared" si="31"/>
        <v>-2.525757381022231E-15</v>
      </c>
      <c r="BB38" s="152">
        <f t="shared" si="31"/>
        <v>7.549516567451064E-15</v>
      </c>
      <c r="BC38" s="152">
        <f t="shared" si="31"/>
        <v>2.0122792321330962E-15</v>
      </c>
      <c r="BD38" s="152">
        <f t="shared" si="31"/>
        <v>0</v>
      </c>
      <c r="BE38" s="152">
        <f t="shared" si="31"/>
        <v>-4.218847493575595E-15</v>
      </c>
      <c r="BF38" s="152">
        <f t="shared" si="31"/>
        <v>0</v>
      </c>
      <c r="BG38" s="152">
        <f t="shared" si="31"/>
        <v>0</v>
      </c>
      <c r="BH38" s="152">
        <f t="shared" si="31"/>
        <v>-4.218847493575595E-15</v>
      </c>
      <c r="BI38" s="152">
        <f t="shared" si="31"/>
        <v>-1.9984014443252818E-15</v>
      </c>
      <c r="BJ38" s="152">
        <f t="shared" si="31"/>
        <v>8.715250743307479E-15</v>
      </c>
      <c r="BK38" s="152">
        <f t="shared" si="31"/>
        <v>3.4139358007223564E-15</v>
      </c>
      <c r="BL38" s="152">
        <f t="shared" si="31"/>
        <v>0</v>
      </c>
    </row>
    <row r="39" spans="1:55" ht="18" customHeight="1">
      <c r="A39" s="10"/>
      <c r="B39" s="10"/>
      <c r="C39" s="10"/>
      <c r="D39" s="10"/>
      <c r="E39" s="10"/>
      <c r="F39" s="10"/>
      <c r="G39" s="10"/>
      <c r="H39" s="51"/>
      <c r="I39" s="10"/>
      <c r="J39" s="10"/>
      <c r="K39" s="10"/>
      <c r="L39" s="10"/>
      <c r="M39" s="10"/>
      <c r="N39" s="10"/>
      <c r="U39" s="39"/>
      <c r="V39" s="1"/>
      <c r="W39" s="1"/>
      <c r="AC39" s="39"/>
      <c r="AD39" s="1"/>
      <c r="AE39" s="1"/>
      <c r="AS39" s="39"/>
      <c r="AT39" s="1"/>
      <c r="AU39" s="1"/>
      <c r="BA39" s="1"/>
      <c r="BB39" s="1"/>
      <c r="BC39" s="1"/>
    </row>
    <row r="40" spans="1:55" ht="15.75">
      <c r="A40" s="52"/>
      <c r="B40" s="52"/>
      <c r="C40" s="10"/>
      <c r="D40" s="52"/>
      <c r="E40" s="52"/>
      <c r="F40" s="52"/>
      <c r="G40" s="52"/>
      <c r="H40" s="55"/>
      <c r="I40" s="52"/>
      <c r="J40" s="52"/>
      <c r="K40" s="52"/>
      <c r="L40" s="52"/>
      <c r="U40" s="1"/>
      <c r="V40" s="1"/>
      <c r="W40" s="1"/>
      <c r="AC40" s="1"/>
      <c r="AD40" s="1"/>
      <c r="AE40" s="1"/>
      <c r="AS40" s="1"/>
      <c r="AT40" s="1"/>
      <c r="AU40" s="1"/>
      <c r="BA40" s="1"/>
      <c r="BB40" s="1"/>
      <c r="BC40" s="1"/>
    </row>
    <row r="41" spans="2:29" ht="15.75">
      <c r="B41" s="53"/>
      <c r="C41" s="53"/>
      <c r="D41" s="53"/>
      <c r="E41" s="53"/>
      <c r="F41" s="53"/>
      <c r="G41" s="53"/>
      <c r="H41" s="56"/>
      <c r="I41" s="53"/>
      <c r="J41" s="53"/>
      <c r="K41" s="53"/>
      <c r="L41" s="53"/>
      <c r="M41" s="53"/>
      <c r="N41" s="53"/>
      <c r="AC41" s="1"/>
    </row>
    <row r="42" spans="2:14" ht="15.75">
      <c r="B42" s="10"/>
      <c r="C42" s="10"/>
      <c r="D42" s="10"/>
      <c r="E42" s="10"/>
      <c r="F42" s="10"/>
      <c r="G42" s="10"/>
      <c r="H42" s="51"/>
      <c r="I42" s="10"/>
      <c r="J42" s="10"/>
      <c r="K42" s="10"/>
      <c r="L42" s="10"/>
      <c r="M42" s="10"/>
      <c r="N42" s="10"/>
    </row>
    <row r="43" spans="2:36" ht="15.75">
      <c r="B43" s="53"/>
      <c r="C43" s="53"/>
      <c r="D43" s="53"/>
      <c r="E43" s="53"/>
      <c r="F43" s="53"/>
      <c r="G43" s="53"/>
      <c r="H43" s="57"/>
      <c r="I43" s="53"/>
      <c r="J43" s="53"/>
      <c r="K43" s="53"/>
      <c r="L43" s="53"/>
      <c r="M43" s="53"/>
      <c r="N43" s="53"/>
      <c r="AH43" s="240"/>
      <c r="AJ43" s="178"/>
    </row>
    <row r="44" spans="2:34" ht="15.75">
      <c r="B44" s="11"/>
      <c r="C44" s="11"/>
      <c r="D44" s="11"/>
      <c r="E44" s="11"/>
      <c r="F44" s="11"/>
      <c r="G44" s="11"/>
      <c r="H44" s="58"/>
      <c r="I44" s="11"/>
      <c r="J44" s="11"/>
      <c r="K44" s="11"/>
      <c r="L44" s="11"/>
      <c r="M44" s="11"/>
      <c r="N44" s="11"/>
      <c r="AH44" s="240"/>
    </row>
    <row r="45" spans="2:34" ht="15.75">
      <c r="B45" s="11"/>
      <c r="H45" s="54"/>
      <c r="AH45" s="240"/>
    </row>
    <row r="46" spans="2:14" ht="15.75">
      <c r="B46" s="263"/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3"/>
      <c r="N46" s="182"/>
    </row>
    <row r="48" ht="15.75">
      <c r="Y48" s="120"/>
    </row>
  </sheetData>
  <sheetProtection/>
  <mergeCells count="24">
    <mergeCell ref="A3:AF3"/>
    <mergeCell ref="A4:AF4"/>
    <mergeCell ref="A6:AF6"/>
    <mergeCell ref="A7:AF7"/>
    <mergeCell ref="A9:A11"/>
    <mergeCell ref="E9:F10"/>
    <mergeCell ref="J10:L10"/>
    <mergeCell ref="G9:L9"/>
    <mergeCell ref="Q10:X10"/>
    <mergeCell ref="B46:M46"/>
    <mergeCell ref="D9:D11"/>
    <mergeCell ref="G10:I10"/>
    <mergeCell ref="BE10:BL10"/>
    <mergeCell ref="Q9:BL9"/>
    <mergeCell ref="AG10:AN10"/>
    <mergeCell ref="A33:B33"/>
    <mergeCell ref="B9:B11"/>
    <mergeCell ref="A34:AQ34"/>
    <mergeCell ref="AW10:BD10"/>
    <mergeCell ref="Y10:AF10"/>
    <mergeCell ref="AO10:AV10"/>
    <mergeCell ref="C9:C11"/>
    <mergeCell ref="M9:N10"/>
    <mergeCell ref="O9:P10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H27 U27:W27 H13 U13:W13 M23:N23 U20:V24 AC20:AC26 AC30:AC31 AS23:AS26 AS16:AS18 AC14:AC18 U28 U30:U31 AS28 AS31 AC28 AS20:AS21 U26:V26 H22:H23">
      <formula1>900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1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82"/>
  <sheetViews>
    <sheetView view="pageBreakPreview" zoomScale="55" zoomScaleNormal="78" zoomScaleSheetLayoutView="55" zoomScalePageLayoutView="0" workbookViewId="0" topLeftCell="A1">
      <selection activeCell="M28" sqref="M28"/>
    </sheetView>
  </sheetViews>
  <sheetFormatPr defaultColWidth="9.00390625" defaultRowHeight="12.75"/>
  <cols>
    <col min="1" max="1" width="12.375" style="1" customWidth="1"/>
    <col min="2" max="2" width="94.125" style="1" customWidth="1"/>
    <col min="3" max="3" width="15.125" style="1" customWidth="1"/>
    <col min="4" max="4" width="11.625" style="1" customWidth="1"/>
    <col min="5" max="5" width="14.875" style="1" customWidth="1"/>
    <col min="6" max="6" width="18.25390625" style="1" customWidth="1"/>
    <col min="7" max="7" width="16.125" style="1" customWidth="1"/>
    <col min="8" max="8" width="25.00390625" style="1" customWidth="1"/>
    <col min="9" max="11" width="15.00390625" style="1" bestFit="1" customWidth="1"/>
    <col min="12" max="14" width="15.00390625" style="1" customWidth="1"/>
    <col min="15" max="16" width="15.00390625" style="1" bestFit="1" customWidth="1"/>
    <col min="17" max="18" width="15.00390625" style="1" customWidth="1"/>
    <col min="19" max="19" width="16.00390625" style="1" customWidth="1"/>
    <col min="20" max="20" width="15.00390625" style="1" bestFit="1" customWidth="1"/>
    <col min="21" max="21" width="15.00390625" style="1" customWidth="1"/>
    <col min="22" max="22" width="15.00390625" style="1" bestFit="1" customWidth="1"/>
    <col min="23" max="23" width="19.25390625" style="1" bestFit="1" customWidth="1"/>
    <col min="24" max="24" width="19.25390625" style="1" customWidth="1"/>
    <col min="25" max="25" width="9.875" style="1" hidden="1" customWidth="1"/>
    <col min="26" max="26" width="11.25390625" style="1" hidden="1" customWidth="1"/>
    <col min="27" max="27" width="14.00390625" style="1" customWidth="1"/>
    <col min="28" max="28" width="6.875" style="1" customWidth="1"/>
    <col min="29" max="29" width="9.625" style="1" customWidth="1"/>
    <col min="30" max="30" width="6.375" style="1" customWidth="1"/>
    <col min="31" max="31" width="8.375" style="1" customWidth="1"/>
    <col min="32" max="32" width="11.375" style="1" customWidth="1"/>
    <col min="33" max="33" width="9.00390625" style="1" customWidth="1"/>
    <col min="34" max="34" width="7.75390625" style="1" customWidth="1"/>
    <col min="35" max="35" width="18.125" style="1" customWidth="1"/>
    <col min="36" max="36" width="7.00390625" style="1" customWidth="1"/>
    <col min="37" max="37" width="7.75390625" style="1" customWidth="1"/>
    <col min="38" max="38" width="10.75390625" style="1" customWidth="1"/>
    <col min="39" max="39" width="8.375" style="1" customWidth="1"/>
    <col min="40" max="46" width="8.25390625" style="1" customWidth="1"/>
    <col min="47" max="47" width="9.875" style="1" customWidth="1"/>
    <col min="48" max="48" width="7.00390625" style="1" customWidth="1"/>
    <col min="49" max="49" width="7.875" style="1" customWidth="1"/>
    <col min="50" max="50" width="11.00390625" style="1" customWidth="1"/>
    <col min="51" max="51" width="7.75390625" style="1" customWidth="1"/>
    <col min="52" max="52" width="8.875" style="1" customWidth="1"/>
    <col min="53" max="16384" width="9.125" style="1" customWidth="1"/>
  </cols>
  <sheetData>
    <row r="1" spans="23:24" ht="15.75">
      <c r="W1" s="47" t="s">
        <v>85</v>
      </c>
      <c r="X1" s="47"/>
    </row>
    <row r="2" spans="23:35" ht="18.75">
      <c r="W2" s="3"/>
      <c r="X2" s="3"/>
      <c r="AI2" s="62">
        <f>S31*1.2</f>
        <v>278.79967156999993</v>
      </c>
    </row>
    <row r="3" spans="1:24" ht="18.75">
      <c r="A3" s="277" t="s">
        <v>0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4"/>
    </row>
    <row r="4" spans="1:55" ht="18.75">
      <c r="A4" s="277" t="s">
        <v>77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4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</row>
    <row r="5" spans="1:55" ht="18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</row>
    <row r="6" spans="1:57" ht="18.75">
      <c r="A6" s="278" t="str">
        <f>'прил.1'!A6</f>
        <v>  "АтомЭнергоСбыт" Курск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18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</row>
    <row r="7" spans="1:57" ht="15.75">
      <c r="A7" s="271" t="s">
        <v>2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101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</row>
    <row r="8" spans="1:24" ht="15.75" customHeight="1" thickBot="1">
      <c r="A8" s="279"/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186"/>
    </row>
    <row r="9" spans="1:24" ht="82.5" customHeight="1">
      <c r="A9" s="272" t="s">
        <v>3</v>
      </c>
      <c r="B9" s="254" t="s">
        <v>69</v>
      </c>
      <c r="C9" s="254" t="s">
        <v>70</v>
      </c>
      <c r="D9" s="264" t="s">
        <v>6</v>
      </c>
      <c r="E9" s="259" t="s">
        <v>78</v>
      </c>
      <c r="F9" s="260"/>
      <c r="G9" s="259" t="s">
        <v>79</v>
      </c>
      <c r="H9" s="260"/>
      <c r="I9" s="274" t="s">
        <v>117</v>
      </c>
      <c r="J9" s="275"/>
      <c r="K9" s="275"/>
      <c r="L9" s="275"/>
      <c r="M9" s="275"/>
      <c r="N9" s="275"/>
      <c r="O9" s="254" t="s">
        <v>118</v>
      </c>
      <c r="P9" s="254"/>
      <c r="Q9" s="254"/>
      <c r="R9" s="254"/>
      <c r="S9" s="274" t="s">
        <v>116</v>
      </c>
      <c r="T9" s="275"/>
      <c r="U9" s="275"/>
      <c r="V9" s="275"/>
      <c r="W9" s="275"/>
      <c r="X9" s="283"/>
    </row>
    <row r="10" spans="1:24" ht="83.25" customHeight="1">
      <c r="A10" s="273"/>
      <c r="B10" s="252"/>
      <c r="C10" s="252"/>
      <c r="D10" s="265"/>
      <c r="E10" s="261"/>
      <c r="F10" s="262"/>
      <c r="G10" s="261"/>
      <c r="H10" s="262"/>
      <c r="I10" s="252" t="s">
        <v>11</v>
      </c>
      <c r="J10" s="252"/>
      <c r="K10" s="252"/>
      <c r="L10" s="256" t="s">
        <v>190</v>
      </c>
      <c r="M10" s="257"/>
      <c r="N10" s="258"/>
      <c r="O10" s="252" t="s">
        <v>195</v>
      </c>
      <c r="P10" s="252"/>
      <c r="Q10" s="252" t="s">
        <v>196</v>
      </c>
      <c r="R10" s="256"/>
      <c r="S10" s="23" t="s">
        <v>67</v>
      </c>
      <c r="T10" s="281" t="s">
        <v>114</v>
      </c>
      <c r="U10" s="282"/>
      <c r="V10" s="23" t="s">
        <v>148</v>
      </c>
      <c r="W10" s="256" t="s">
        <v>12</v>
      </c>
      <c r="X10" s="266" t="s">
        <v>197</v>
      </c>
    </row>
    <row r="11" spans="1:24" ht="104.25">
      <c r="A11" s="273"/>
      <c r="B11" s="252"/>
      <c r="C11" s="252"/>
      <c r="D11" s="265"/>
      <c r="E11" s="26" t="s">
        <v>11</v>
      </c>
      <c r="F11" s="204" t="s">
        <v>190</v>
      </c>
      <c r="G11" s="26" t="s">
        <v>13</v>
      </c>
      <c r="H11" s="204" t="s">
        <v>190</v>
      </c>
      <c r="I11" s="7" t="s">
        <v>80</v>
      </c>
      <c r="J11" s="27" t="s">
        <v>81</v>
      </c>
      <c r="K11" s="27" t="s">
        <v>82</v>
      </c>
      <c r="L11" s="7" t="s">
        <v>80</v>
      </c>
      <c r="M11" s="27" t="s">
        <v>81</v>
      </c>
      <c r="N11" s="27" t="s">
        <v>82</v>
      </c>
      <c r="O11" s="7" t="s">
        <v>83</v>
      </c>
      <c r="P11" s="7" t="s">
        <v>84</v>
      </c>
      <c r="Q11" s="7" t="s">
        <v>83</v>
      </c>
      <c r="R11" s="7" t="s">
        <v>84</v>
      </c>
      <c r="S11" s="6" t="s">
        <v>11</v>
      </c>
      <c r="T11" s="6" t="s">
        <v>11</v>
      </c>
      <c r="U11" s="205" t="s">
        <v>190</v>
      </c>
      <c r="V11" s="6" t="s">
        <v>11</v>
      </c>
      <c r="W11" s="256"/>
      <c r="X11" s="266"/>
    </row>
    <row r="12" spans="1:25" ht="19.5" customHeight="1">
      <c r="A12" s="65">
        <v>1</v>
      </c>
      <c r="B12" s="6">
        <f>A12+1</f>
        <v>2</v>
      </c>
      <c r="C12" s="6">
        <f aca="true" t="shared" si="0" ref="C12:X12">B12+1</f>
        <v>3</v>
      </c>
      <c r="D12" s="6">
        <f t="shared" si="0"/>
        <v>4</v>
      </c>
      <c r="E12" s="6">
        <f t="shared" si="0"/>
        <v>5</v>
      </c>
      <c r="F12" s="6">
        <f t="shared" si="0"/>
        <v>6</v>
      </c>
      <c r="G12" s="6">
        <f t="shared" si="0"/>
        <v>7</v>
      </c>
      <c r="H12" s="6">
        <f t="shared" si="0"/>
        <v>8</v>
      </c>
      <c r="I12" s="6">
        <f t="shared" si="0"/>
        <v>9</v>
      </c>
      <c r="J12" s="6">
        <f t="shared" si="0"/>
        <v>10</v>
      </c>
      <c r="K12" s="6">
        <f t="shared" si="0"/>
        <v>11</v>
      </c>
      <c r="L12" s="6">
        <f t="shared" si="0"/>
        <v>12</v>
      </c>
      <c r="M12" s="6">
        <f t="shared" si="0"/>
        <v>13</v>
      </c>
      <c r="N12" s="6">
        <f t="shared" si="0"/>
        <v>14</v>
      </c>
      <c r="O12" s="6">
        <f t="shared" si="0"/>
        <v>15</v>
      </c>
      <c r="P12" s="6">
        <f t="shared" si="0"/>
        <v>16</v>
      </c>
      <c r="Q12" s="6">
        <f t="shared" si="0"/>
        <v>17</v>
      </c>
      <c r="R12" s="6">
        <f t="shared" si="0"/>
        <v>18</v>
      </c>
      <c r="S12" s="6">
        <f t="shared" si="0"/>
        <v>19</v>
      </c>
      <c r="T12" s="6">
        <f t="shared" si="0"/>
        <v>20</v>
      </c>
      <c r="U12" s="6">
        <f t="shared" si="0"/>
        <v>21</v>
      </c>
      <c r="V12" s="6">
        <f t="shared" si="0"/>
        <v>22</v>
      </c>
      <c r="W12" s="6">
        <f t="shared" si="0"/>
        <v>23</v>
      </c>
      <c r="X12" s="6">
        <f t="shared" si="0"/>
        <v>24</v>
      </c>
      <c r="Y12" s="31">
        <v>11</v>
      </c>
    </row>
    <row r="13" spans="1:26" ht="16.5">
      <c r="A13" s="71" t="str">
        <f>'прил.1'!A13</f>
        <v>1.</v>
      </c>
      <c r="B13" s="139" t="s">
        <v>105</v>
      </c>
      <c r="C13" s="140"/>
      <c r="D13" s="40"/>
      <c r="E13" s="40"/>
      <c r="F13" s="40"/>
      <c r="G13" s="141"/>
      <c r="H13" s="141"/>
      <c r="I13" s="141"/>
      <c r="J13" s="141"/>
      <c r="K13" s="41"/>
      <c r="L13" s="41"/>
      <c r="M13" s="41"/>
      <c r="N13" s="41"/>
      <c r="O13" s="41"/>
      <c r="P13" s="36"/>
      <c r="Q13" s="36"/>
      <c r="R13" s="36"/>
      <c r="S13" s="45"/>
      <c r="T13" s="41"/>
      <c r="U13" s="41"/>
      <c r="V13" s="41"/>
      <c r="W13" s="206"/>
      <c r="X13" s="72"/>
      <c r="Y13" s="98"/>
      <c r="Z13" s="98"/>
    </row>
    <row r="14" spans="1:30" ht="15.75">
      <c r="A14" s="67" t="str">
        <f>'прил.1'!A14</f>
        <v>1.1.</v>
      </c>
      <c r="B14" s="37" t="str">
        <f>'прил.1'!B14</f>
        <v>Установка шлагбаумов: г.Курск, ул. Энгельса, д.134 </v>
      </c>
      <c r="C14" s="63" t="str">
        <f>'прил.1'!C14</f>
        <v>K_L01</v>
      </c>
      <c r="D14" s="104">
        <f>'прил.1'!D14</f>
        <v>2022</v>
      </c>
      <c r="E14" s="104">
        <f>'прил.1'!E14</f>
        <v>2022</v>
      </c>
      <c r="F14" s="104"/>
      <c r="G14" s="160">
        <f>'прил.1'!H14/1.2</f>
        <v>0.195</v>
      </c>
      <c r="H14" s="160"/>
      <c r="I14" s="160">
        <f>SUM(J14:K14)</f>
        <v>0.20280000000000004</v>
      </c>
      <c r="J14" s="160">
        <f>'прил.1'!M14/1.2</f>
        <v>0.20280000000000004</v>
      </c>
      <c r="K14" s="164"/>
      <c r="L14" s="160">
        <f>SUM(M14:N14)</f>
        <v>0</v>
      </c>
      <c r="M14" s="160">
        <f>'прил.1'!N14/1.2</f>
        <v>0</v>
      </c>
      <c r="N14" s="164"/>
      <c r="O14" s="164"/>
      <c r="P14" s="160">
        <f>W14</f>
        <v>0.2028</v>
      </c>
      <c r="Q14" s="160"/>
      <c r="R14" s="160">
        <f>X14</f>
        <v>0</v>
      </c>
      <c r="S14" s="165">
        <f>'прил.1'!Q14-'прил.1'!W14</f>
        <v>0</v>
      </c>
      <c r="T14" s="165">
        <f>'прил.1'!Y14-'прил.1'!AE14</f>
        <v>0.2028</v>
      </c>
      <c r="U14" s="165">
        <f>'прил.1'!AG14-'прил.1'!AM14</f>
        <v>0</v>
      </c>
      <c r="V14" s="165">
        <f>'прил.1'!AO14-'прил.1'!AU14</f>
        <v>0</v>
      </c>
      <c r="W14" s="207">
        <f>S14+T14+V14</f>
        <v>0.2028</v>
      </c>
      <c r="X14" s="246">
        <f>S14+U14+V14</f>
        <v>0</v>
      </c>
      <c r="Y14" s="39">
        <f>W14-I14</f>
        <v>0</v>
      </c>
      <c r="Z14" s="159">
        <f>W14-V14-T14-S14</f>
        <v>0</v>
      </c>
      <c r="AA14" s="98"/>
      <c r="AB14" s="98"/>
      <c r="AC14" s="39"/>
      <c r="AD14" s="98"/>
    </row>
    <row r="15" spans="1:30" ht="15.75">
      <c r="A15" s="67" t="str">
        <f>'прил.1'!A15</f>
        <v>1.2.</v>
      </c>
      <c r="B15" s="122" t="str">
        <f>'прил.1'!B15</f>
        <v>Модернизация системы контроля и управления доступом: г. Курск, ул. Энгельса, д. 134</v>
      </c>
      <c r="C15" s="123" t="str">
        <f>'прил.1'!C15</f>
        <v>K_L02</v>
      </c>
      <c r="D15" s="124">
        <f>'прил.1'!D15</f>
        <v>2022</v>
      </c>
      <c r="E15" s="124">
        <f>'прил.1'!E15</f>
        <v>2022</v>
      </c>
      <c r="F15" s="104"/>
      <c r="G15" s="160">
        <f>'прил.1'!H15/1.2</f>
        <v>0.24</v>
      </c>
      <c r="H15" s="160"/>
      <c r="I15" s="160">
        <f>SUM(J15:K15)</f>
        <v>0.24960000000000002</v>
      </c>
      <c r="J15" s="160">
        <f>'прил.1'!M15/1.2</f>
        <v>0.24960000000000002</v>
      </c>
      <c r="K15" s="164"/>
      <c r="L15" s="160">
        <f>SUM(M15:N15)</f>
        <v>0</v>
      </c>
      <c r="M15" s="160">
        <f>'прил.1'!N15/1.2</f>
        <v>0</v>
      </c>
      <c r="N15" s="164"/>
      <c r="O15" s="164"/>
      <c r="P15" s="160">
        <f>W15</f>
        <v>0.2496</v>
      </c>
      <c r="Q15" s="160"/>
      <c r="R15" s="160">
        <f aca="true" t="shared" si="1" ref="R15:R30">X15</f>
        <v>0</v>
      </c>
      <c r="S15" s="165">
        <f>'прил.1'!Q15-'прил.1'!W15</f>
        <v>0</v>
      </c>
      <c r="T15" s="165">
        <f>'прил.1'!Y15-'прил.1'!AE15</f>
        <v>0.2496</v>
      </c>
      <c r="U15" s="165">
        <f>'прил.1'!AG15-'прил.1'!AM15</f>
        <v>0</v>
      </c>
      <c r="V15" s="165">
        <f>'прил.1'!AO15-'прил.1'!AU15</f>
        <v>0</v>
      </c>
      <c r="W15" s="207">
        <f>S15+T15+V15</f>
        <v>0.2496</v>
      </c>
      <c r="X15" s="246">
        <f aca="true" t="shared" si="2" ref="X15:X30">S15+U15+V15</f>
        <v>0</v>
      </c>
      <c r="Y15" s="39"/>
      <c r="Z15" s="159">
        <f aca="true" t="shared" si="3" ref="Z15:Z31">W15-V15-T15-S15</f>
        <v>0</v>
      </c>
      <c r="AA15" s="39"/>
      <c r="AC15" s="39"/>
      <c r="AD15" s="98"/>
    </row>
    <row r="16" spans="1:30" ht="15.75">
      <c r="A16" s="67" t="str">
        <f>'прил.1'!A16</f>
        <v>1.3.</v>
      </c>
      <c r="B16" s="122" t="str">
        <f>'прил.1'!B16</f>
        <v>Система видеонаблюдения: г. Курск, ул. Энгельса, д. 134</v>
      </c>
      <c r="C16" s="123" t="str">
        <f>'прил.1'!C16</f>
        <v>K_L03</v>
      </c>
      <c r="D16" s="124">
        <f>'прил.1'!D16</f>
        <v>2023</v>
      </c>
      <c r="E16" s="124">
        <f>'прил.1'!E16</f>
        <v>2023</v>
      </c>
      <c r="F16" s="104">
        <f>'прил.1'!F16</f>
        <v>2023</v>
      </c>
      <c r="G16" s="160">
        <f>'прил.1'!H16/1.2</f>
        <v>0.99</v>
      </c>
      <c r="H16" s="160">
        <f>'прил.1'!K16/1.2</f>
        <v>0.99</v>
      </c>
      <c r="I16" s="160">
        <f>SUM(J16:K16)</f>
        <v>1.070784</v>
      </c>
      <c r="J16" s="160">
        <f>'прил.1'!M16/1.2</f>
        <v>1.070784</v>
      </c>
      <c r="K16" s="164"/>
      <c r="L16" s="160">
        <f>SUM(M16:N16)</f>
        <v>1.070784</v>
      </c>
      <c r="M16" s="160">
        <f>'прил.1'!N16/1.2</f>
        <v>1.070784</v>
      </c>
      <c r="N16" s="164"/>
      <c r="O16" s="164"/>
      <c r="P16" s="160">
        <f>W16</f>
        <v>1.070784</v>
      </c>
      <c r="Q16" s="160"/>
      <c r="R16" s="160">
        <f t="shared" si="1"/>
        <v>1.070784</v>
      </c>
      <c r="S16" s="165">
        <f>'прил.1'!Q16-'прил.1'!W16</f>
        <v>0</v>
      </c>
      <c r="T16" s="165">
        <f>'прил.1'!Y16-'прил.1'!AE16</f>
        <v>0</v>
      </c>
      <c r="U16" s="165">
        <f>'прил.1'!AG16-'прил.1'!AM16</f>
        <v>0</v>
      </c>
      <c r="V16" s="165">
        <f>'прил.1'!AO16-'прил.1'!AU16</f>
        <v>1.070784</v>
      </c>
      <c r="W16" s="207">
        <f>S16+T16+V16</f>
        <v>1.070784</v>
      </c>
      <c r="X16" s="246">
        <f t="shared" si="2"/>
        <v>1.070784</v>
      </c>
      <c r="Y16" s="39"/>
      <c r="Z16" s="159">
        <f t="shared" si="3"/>
        <v>0</v>
      </c>
      <c r="AA16" s="39"/>
      <c r="AC16" s="39"/>
      <c r="AD16" s="98"/>
    </row>
    <row r="17" spans="1:30" ht="15.75">
      <c r="A17" s="67" t="str">
        <f>'прил.1'!A17</f>
        <v>1.4.</v>
      </c>
      <c r="B17" s="122" t="str">
        <f>'прил.1'!B17</f>
        <v>Охранно-пожарная сигнализация в участке </v>
      </c>
      <c r="C17" s="123" t="str">
        <f>'прил.1'!C17</f>
        <v>K_L04</v>
      </c>
      <c r="D17" s="124">
        <f>'прил.1'!D17</f>
        <v>2022</v>
      </c>
      <c r="E17" s="124">
        <f>'прил.1'!E17</f>
        <v>2023</v>
      </c>
      <c r="F17" s="104">
        <f>'прил.1'!F17</f>
        <v>2023</v>
      </c>
      <c r="G17" s="160">
        <f>'прил.1'!H17/1.2</f>
        <v>2.18</v>
      </c>
      <c r="H17" s="160">
        <f>'прил.1'!K17/1.2</f>
        <v>0.74</v>
      </c>
      <c r="I17" s="160">
        <f>SUM(J17:K17)</f>
        <v>2.2979840000000005</v>
      </c>
      <c r="J17" s="160">
        <f>'прил.1'!M17/1.2</f>
        <v>2.2979840000000005</v>
      </c>
      <c r="K17" s="164"/>
      <c r="L17" s="160">
        <f>SUM(M17:N17)</f>
        <v>0.800384</v>
      </c>
      <c r="M17" s="160">
        <f>'прил.1'!N17/1.2</f>
        <v>0.800384</v>
      </c>
      <c r="N17" s="164"/>
      <c r="O17" s="164"/>
      <c r="P17" s="160">
        <f>W17</f>
        <v>2.297984</v>
      </c>
      <c r="Q17" s="160"/>
      <c r="R17" s="160">
        <f t="shared" si="1"/>
        <v>0.800384</v>
      </c>
      <c r="S17" s="165">
        <f>'прил.1'!Q17-'прил.1'!W17</f>
        <v>0</v>
      </c>
      <c r="T17" s="165">
        <f>'прил.1'!Y17-'прил.1'!AE17</f>
        <v>1.4976</v>
      </c>
      <c r="U17" s="165">
        <f>'прил.1'!AG17-'прил.1'!AM17</f>
        <v>0</v>
      </c>
      <c r="V17" s="165">
        <f>'прил.1'!AO17-'прил.1'!AU17</f>
        <v>0.800384</v>
      </c>
      <c r="W17" s="207">
        <f>S17+T17+V17</f>
        <v>2.297984</v>
      </c>
      <c r="X17" s="246">
        <f t="shared" si="2"/>
        <v>0.800384</v>
      </c>
      <c r="Y17" s="39"/>
      <c r="Z17" s="159">
        <f t="shared" si="3"/>
        <v>0</v>
      </c>
      <c r="AA17" s="39"/>
      <c r="AC17" s="39"/>
      <c r="AD17" s="98"/>
    </row>
    <row r="18" spans="1:30" ht="15.75">
      <c r="A18" s="67" t="str">
        <f>'прил.1'!A18</f>
        <v>1.5.</v>
      </c>
      <c r="B18" s="122" t="str">
        <f>'прил.1'!B18</f>
        <v>Реализация мероприятий по соответствию бренд-буку</v>
      </c>
      <c r="C18" s="123" t="str">
        <f>'прил.1'!C18</f>
        <v>L_КАЭС.01</v>
      </c>
      <c r="D18" s="124">
        <f>'прил.1'!D18</f>
        <v>2022</v>
      </c>
      <c r="E18" s="124">
        <f>'прил.1'!E18</f>
        <v>2023</v>
      </c>
      <c r="F18" s="104">
        <f>'прил.1'!F18</f>
        <v>2023</v>
      </c>
      <c r="G18" s="160">
        <f>'прил.1'!H18/1.2</f>
        <v>2.9949950000000003</v>
      </c>
      <c r="H18" s="160">
        <f>'прил.1'!K18/1.2</f>
        <v>0.8946000000000001</v>
      </c>
      <c r="I18" s="160">
        <f>SUM(J18:K18)</f>
        <v>2.9949950000000003</v>
      </c>
      <c r="J18" s="160">
        <f>'прил.1'!M18/1.2</f>
        <v>2.9949950000000003</v>
      </c>
      <c r="K18" s="164"/>
      <c r="L18" s="160">
        <f>SUM(M18:N18)</f>
        <v>0.8946000000000001</v>
      </c>
      <c r="M18" s="160">
        <f>'прил.1'!N18/1.2</f>
        <v>0.8946000000000001</v>
      </c>
      <c r="N18" s="164"/>
      <c r="O18" s="164"/>
      <c r="P18" s="160">
        <f>W18</f>
        <v>2.994995</v>
      </c>
      <c r="Q18" s="160"/>
      <c r="R18" s="160">
        <f t="shared" si="1"/>
        <v>0.8946000000000001</v>
      </c>
      <c r="S18" s="165">
        <f>'прил.1'!Q18-'прил.1'!W18</f>
        <v>0</v>
      </c>
      <c r="T18" s="165">
        <f>'прил.1'!Y18-'прил.1'!AE18</f>
        <v>2.100395</v>
      </c>
      <c r="U18" s="165">
        <f>'прил.1'!AG18-'прил.1'!AM18</f>
        <v>0</v>
      </c>
      <c r="V18" s="165">
        <f>'прил.1'!AO18-'прил.1'!AU18</f>
        <v>0.8946000000000001</v>
      </c>
      <c r="W18" s="207">
        <f>S18+T18+V18</f>
        <v>2.994995</v>
      </c>
      <c r="X18" s="246">
        <f t="shared" si="2"/>
        <v>0.8946000000000001</v>
      </c>
      <c r="Y18" s="39"/>
      <c r="Z18" s="159"/>
      <c r="AA18" s="39"/>
      <c r="AC18" s="39"/>
      <c r="AD18" s="98"/>
    </row>
    <row r="19" spans="1:30" ht="15.75">
      <c r="A19" s="71" t="str">
        <f>'прил.1'!A19</f>
        <v>2.</v>
      </c>
      <c r="B19" s="130" t="s">
        <v>106</v>
      </c>
      <c r="C19" s="121"/>
      <c r="D19" s="40"/>
      <c r="E19" s="40"/>
      <c r="F19" s="40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0">
        <f t="shared" si="1"/>
        <v>0</v>
      </c>
      <c r="S19" s="164"/>
      <c r="T19" s="164"/>
      <c r="U19" s="165">
        <f>'прил.1'!AG19-'прил.1'!AM19</f>
        <v>0</v>
      </c>
      <c r="V19" s="165"/>
      <c r="W19" s="208"/>
      <c r="X19" s="246">
        <f t="shared" si="2"/>
        <v>0</v>
      </c>
      <c r="Y19" s="39">
        <f aca="true" t="shared" si="4" ref="Y19:Y30">W19-I19</f>
        <v>0</v>
      </c>
      <c r="Z19" s="159">
        <f t="shared" si="3"/>
        <v>0</v>
      </c>
      <c r="AC19" s="39"/>
      <c r="AD19" s="98"/>
    </row>
    <row r="20" spans="1:30" ht="15.75">
      <c r="A20" s="67" t="str">
        <f>'прил.1'!A20</f>
        <v>2.1.</v>
      </c>
      <c r="B20" s="128" t="str">
        <f>'прил.1'!B20</f>
        <v>Коммутатор Cisco</v>
      </c>
      <c r="C20" s="129" t="str">
        <f>'прил.1'!C20</f>
        <v>K_L05</v>
      </c>
      <c r="D20" s="104">
        <f>'прил.1'!D20</f>
        <v>2022</v>
      </c>
      <c r="E20" s="104">
        <f>'прил.1'!E20</f>
        <v>2022</v>
      </c>
      <c r="F20" s="104"/>
      <c r="G20" s="163">
        <f>'прил.1'!H20/1.2</f>
        <v>5.859041625000001</v>
      </c>
      <c r="H20" s="163">
        <f>'прил.1'!K20/1.2</f>
        <v>0</v>
      </c>
      <c r="I20" s="160">
        <f aca="true" t="shared" si="5" ref="I20:I25">SUM(J20:K20)</f>
        <v>5.859041625000001</v>
      </c>
      <c r="J20" s="160">
        <f>'прил.1'!M20/1.2</f>
        <v>5.859041625000001</v>
      </c>
      <c r="K20" s="164"/>
      <c r="L20" s="160">
        <f aca="true" t="shared" si="6" ref="L20:L25">SUM(M20:N20)</f>
        <v>0</v>
      </c>
      <c r="M20" s="160">
        <f>'прил.1'!N20/1.2</f>
        <v>0</v>
      </c>
      <c r="N20" s="164"/>
      <c r="O20" s="164"/>
      <c r="P20" s="160">
        <f aca="true" t="shared" si="7" ref="P20:P25">W20</f>
        <v>5.859041625</v>
      </c>
      <c r="Q20" s="160"/>
      <c r="R20" s="160">
        <f t="shared" si="1"/>
        <v>0</v>
      </c>
      <c r="S20" s="165">
        <f>'прил.1'!Q20-'прил.1'!W20</f>
        <v>0</v>
      </c>
      <c r="T20" s="165">
        <f>'прил.1'!Y20-'прил.1'!AE20</f>
        <v>5.859041625</v>
      </c>
      <c r="U20" s="165">
        <f>'прил.1'!AG20-'прил.1'!AM20</f>
        <v>0</v>
      </c>
      <c r="V20" s="165">
        <f>'прил.1'!AO20-'прил.1'!AU20</f>
        <v>0</v>
      </c>
      <c r="W20" s="207">
        <f aca="true" t="shared" si="8" ref="W20:W26">S20+T20+V20</f>
        <v>5.859041625</v>
      </c>
      <c r="X20" s="246">
        <f t="shared" si="2"/>
        <v>0</v>
      </c>
      <c r="Y20" s="39">
        <f t="shared" si="4"/>
        <v>0</v>
      </c>
      <c r="Z20" s="159">
        <f t="shared" si="3"/>
        <v>0</v>
      </c>
      <c r="AC20" s="39"/>
      <c r="AD20" s="98"/>
    </row>
    <row r="21" spans="1:30" ht="15.75">
      <c r="A21" s="67" t="str">
        <f>'прил.1'!A21</f>
        <v>2.2.</v>
      </c>
      <c r="B21" s="128" t="str">
        <f>'прил.1'!B21</f>
        <v>Приобретение оргтехники</v>
      </c>
      <c r="C21" s="129" t="str">
        <f>'прил.1'!C21</f>
        <v>K_L06</v>
      </c>
      <c r="D21" s="104">
        <f>'прил.1'!D21</f>
        <v>2023</v>
      </c>
      <c r="E21" s="104">
        <f>'прил.1'!E21</f>
        <v>2023</v>
      </c>
      <c r="F21" s="104">
        <f>'прил.1'!F21</f>
        <v>2023</v>
      </c>
      <c r="G21" s="163">
        <f>'прил.1'!H21/1.2</f>
        <v>13.663123710312835</v>
      </c>
      <c r="H21" s="163">
        <f>'прил.1'!K21/1.2</f>
        <v>13.663123710312835</v>
      </c>
      <c r="I21" s="160">
        <f t="shared" si="5"/>
        <v>13.663123710312835</v>
      </c>
      <c r="J21" s="160">
        <f>'прил.1'!M21/1.2</f>
        <v>13.663123710312835</v>
      </c>
      <c r="K21" s="164"/>
      <c r="L21" s="160">
        <f t="shared" si="6"/>
        <v>13.663123710312835</v>
      </c>
      <c r="M21" s="160">
        <f>'прил.1'!N21/1.2</f>
        <v>13.663123710312835</v>
      </c>
      <c r="N21" s="164"/>
      <c r="O21" s="164"/>
      <c r="P21" s="160">
        <f>W21</f>
        <v>13.663123710312833</v>
      </c>
      <c r="Q21" s="160"/>
      <c r="R21" s="160">
        <f t="shared" si="1"/>
        <v>13.663123710312833</v>
      </c>
      <c r="S21" s="165">
        <f>'прил.1'!Q21-'прил.1'!W21</f>
        <v>0</v>
      </c>
      <c r="T21" s="165">
        <f>'прил.1'!Y21-'прил.1'!AE21</f>
        <v>0</v>
      </c>
      <c r="U21" s="165">
        <f>'прил.1'!AG21-'прил.1'!AM21</f>
        <v>0</v>
      </c>
      <c r="V21" s="165">
        <f>'прил.1'!AO21-'прил.1'!AU21</f>
        <v>13.663123710312833</v>
      </c>
      <c r="W21" s="207">
        <f t="shared" si="8"/>
        <v>13.663123710312833</v>
      </c>
      <c r="X21" s="246">
        <f t="shared" si="2"/>
        <v>13.663123710312833</v>
      </c>
      <c r="Y21" s="39">
        <f t="shared" si="4"/>
        <v>0</v>
      </c>
      <c r="Z21" s="159">
        <f t="shared" si="3"/>
        <v>0</v>
      </c>
      <c r="AC21" s="39"/>
      <c r="AD21" s="98"/>
    </row>
    <row r="22" spans="1:30" ht="31.5">
      <c r="A22" s="67" t="str">
        <f>'прил.1'!A22</f>
        <v>2.3.</v>
      </c>
      <c r="B22" s="128" t="str">
        <f>'прил.1'!B22</f>
        <v>Система хранения данных (СХД) Lenovo Storage V3700 V2 SFF Control Enclosure (6535C2D)</v>
      </c>
      <c r="C22" s="129" t="str">
        <f>'прил.1'!C22</f>
        <v>K_L07</v>
      </c>
      <c r="D22" s="104">
        <f>'прил.1'!D22</f>
        <v>2022</v>
      </c>
      <c r="E22" s="104">
        <f>'прил.1'!E22</f>
        <v>2022</v>
      </c>
      <c r="F22" s="104"/>
      <c r="G22" s="163">
        <f>'прил.1'!H22/1.2</f>
        <v>6.186124325</v>
      </c>
      <c r="H22" s="163">
        <f>'прил.1'!K22/1.2</f>
        <v>0</v>
      </c>
      <c r="I22" s="160">
        <f t="shared" si="5"/>
        <v>6.186124325</v>
      </c>
      <c r="J22" s="160">
        <f>'прил.1'!M22/1.2</f>
        <v>6.186124325</v>
      </c>
      <c r="K22" s="164"/>
      <c r="L22" s="160">
        <f t="shared" si="6"/>
        <v>0</v>
      </c>
      <c r="M22" s="160">
        <f>'прил.1'!N22/1.2</f>
        <v>0</v>
      </c>
      <c r="N22" s="164"/>
      <c r="O22" s="164"/>
      <c r="P22" s="160">
        <f t="shared" si="7"/>
        <v>6.186124325</v>
      </c>
      <c r="Q22" s="160"/>
      <c r="R22" s="160">
        <f t="shared" si="1"/>
        <v>0</v>
      </c>
      <c r="S22" s="165">
        <f>'прил.1'!Q22-'прил.1'!W22</f>
        <v>0</v>
      </c>
      <c r="T22" s="165">
        <f>'прил.1'!Y22-'прил.1'!AE22</f>
        <v>6.186124325</v>
      </c>
      <c r="U22" s="165">
        <f>'прил.1'!AG22-'прил.1'!AM22</f>
        <v>0</v>
      </c>
      <c r="V22" s="165">
        <f>'прил.1'!AO22-'прил.1'!AU22</f>
        <v>0</v>
      </c>
      <c r="W22" s="207">
        <f t="shared" si="8"/>
        <v>6.186124325</v>
      </c>
      <c r="X22" s="246">
        <f t="shared" si="2"/>
        <v>0</v>
      </c>
      <c r="Y22" s="39">
        <f t="shared" si="4"/>
        <v>0</v>
      </c>
      <c r="Z22" s="159">
        <f t="shared" si="3"/>
        <v>0</v>
      </c>
      <c r="AC22" s="39"/>
      <c r="AD22" s="98"/>
    </row>
    <row r="23" spans="1:30" ht="15.75">
      <c r="A23" s="67" t="str">
        <f>'прил.1'!A23</f>
        <v>2.4.</v>
      </c>
      <c r="B23" s="128" t="str">
        <f>'прил.1'!B23</f>
        <v>ИБП APC SRC2KI Smart-UPS RC 2000VA 1600W</v>
      </c>
      <c r="C23" s="129" t="str">
        <f>'прил.1'!C23</f>
        <v>K_01</v>
      </c>
      <c r="D23" s="104">
        <f>'прил.1'!D23</f>
        <v>2022</v>
      </c>
      <c r="E23" s="104">
        <f>'прил.1'!E23</f>
        <v>2022</v>
      </c>
      <c r="F23" s="104"/>
      <c r="G23" s="163">
        <f>'прил.1'!H23/1.2</f>
        <v>0.22722261233242536</v>
      </c>
      <c r="H23" s="163">
        <f>'прил.1'!K23/1.2</f>
        <v>0</v>
      </c>
      <c r="I23" s="160">
        <f t="shared" si="5"/>
        <v>0.22722261233242536</v>
      </c>
      <c r="J23" s="160">
        <f>'прил.1'!M23/1.2</f>
        <v>0.22722261233242536</v>
      </c>
      <c r="K23" s="164"/>
      <c r="L23" s="160">
        <f t="shared" si="6"/>
        <v>0</v>
      </c>
      <c r="M23" s="160">
        <f>'прил.1'!N23/1.2</f>
        <v>0</v>
      </c>
      <c r="N23" s="164"/>
      <c r="O23" s="164"/>
      <c r="P23" s="160">
        <f t="shared" si="7"/>
        <v>0.22722261233242536</v>
      </c>
      <c r="Q23" s="160"/>
      <c r="R23" s="160">
        <f t="shared" si="1"/>
        <v>0</v>
      </c>
      <c r="S23" s="165">
        <f>'прил.1'!Q23-'прил.1'!W23</f>
        <v>0</v>
      </c>
      <c r="T23" s="165">
        <f>'прил.1'!Y23-'прил.1'!AE23</f>
        <v>0.22722261233242536</v>
      </c>
      <c r="U23" s="165">
        <f>'прил.1'!AG23-'прил.1'!AM23</f>
        <v>0</v>
      </c>
      <c r="V23" s="165">
        <f>'прил.1'!AO23-'прил.1'!AU23</f>
        <v>0</v>
      </c>
      <c r="W23" s="207">
        <f t="shared" si="8"/>
        <v>0.22722261233242536</v>
      </c>
      <c r="X23" s="246">
        <f t="shared" si="2"/>
        <v>0</v>
      </c>
      <c r="Y23" s="39">
        <f t="shared" si="4"/>
        <v>0</v>
      </c>
      <c r="Z23" s="159">
        <f t="shared" si="3"/>
        <v>0</v>
      </c>
      <c r="AC23" s="39"/>
      <c r="AD23" s="98"/>
    </row>
    <row r="24" spans="1:30" ht="15.75">
      <c r="A24" s="67" t="str">
        <f>'прил.1'!A24</f>
        <v>2.5.</v>
      </c>
      <c r="B24" s="128" t="str">
        <f>'прил.1'!B24</f>
        <v>Ленточная библиотека HPE STOREEVER MSL2024 LTO-7 15000 SAS (P9G69A</v>
      </c>
      <c r="C24" s="129" t="str">
        <f>'прил.1'!C24</f>
        <v>K_02</v>
      </c>
      <c r="D24" s="104">
        <f>'прил.1'!D24</f>
        <v>2022</v>
      </c>
      <c r="E24" s="104">
        <f>'прил.1'!E24</f>
        <v>2022</v>
      </c>
      <c r="F24" s="104"/>
      <c r="G24" s="163">
        <f>'прил.1'!H24/1.2</f>
        <v>0.15850669304858245</v>
      </c>
      <c r="H24" s="163">
        <f>'прил.1'!K24/1.2</f>
        <v>0</v>
      </c>
      <c r="I24" s="160">
        <f t="shared" si="5"/>
        <v>0.15850669304858245</v>
      </c>
      <c r="J24" s="160">
        <f>'прил.1'!M24/1.2</f>
        <v>0.15850669304858245</v>
      </c>
      <c r="K24" s="164"/>
      <c r="L24" s="160">
        <f t="shared" si="6"/>
        <v>0</v>
      </c>
      <c r="M24" s="160">
        <f>'прил.1'!N24/1.2</f>
        <v>0</v>
      </c>
      <c r="N24" s="164"/>
      <c r="O24" s="164"/>
      <c r="P24" s="160">
        <f t="shared" si="7"/>
        <v>0.15850669304858245</v>
      </c>
      <c r="Q24" s="160"/>
      <c r="R24" s="160">
        <f t="shared" si="1"/>
        <v>0</v>
      </c>
      <c r="S24" s="165">
        <f>'прил.1'!Q24-'прил.1'!W24</f>
        <v>0</v>
      </c>
      <c r="T24" s="165">
        <f>'прил.1'!Y24-'прил.1'!AE24</f>
        <v>0.15850669304858245</v>
      </c>
      <c r="U24" s="165">
        <f>'прил.1'!AG24-'прил.1'!AM24</f>
        <v>0</v>
      </c>
      <c r="V24" s="165">
        <f>'прил.1'!AO24-'прил.1'!AU24</f>
        <v>0</v>
      </c>
      <c r="W24" s="207">
        <f t="shared" si="8"/>
        <v>0.15850669304858245</v>
      </c>
      <c r="X24" s="246">
        <f t="shared" si="2"/>
        <v>0</v>
      </c>
      <c r="Y24" s="39">
        <f t="shared" si="4"/>
        <v>0</v>
      </c>
      <c r="Z24" s="159">
        <f t="shared" si="3"/>
        <v>0</v>
      </c>
      <c r="AC24" s="39"/>
      <c r="AD24" s="98"/>
    </row>
    <row r="25" spans="1:30" ht="31.5">
      <c r="A25" s="67" t="str">
        <f>'прил.1'!A25</f>
        <v>2.6.</v>
      </c>
      <c r="B25" s="128" t="str">
        <f>'прил.1'!B25</f>
        <v>Система хранения данных (СХД) HPE MSA 1050 8Gb Fibre Channel Dual Controller SFF Storage (Q2R19A)</v>
      </c>
      <c r="C25" s="129" t="str">
        <f>'прил.1'!C25</f>
        <v>K_03</v>
      </c>
      <c r="D25" s="104">
        <f>'прил.1'!D25</f>
        <v>2022</v>
      </c>
      <c r="E25" s="104">
        <f>'прил.1'!E25</f>
        <v>2022</v>
      </c>
      <c r="F25" s="104"/>
      <c r="G25" s="163">
        <f>'прил.1'!H25/1.2</f>
        <v>1.1032332288644078</v>
      </c>
      <c r="H25" s="163">
        <f>'прил.1'!K25/1.2</f>
        <v>0</v>
      </c>
      <c r="I25" s="160">
        <f t="shared" si="5"/>
        <v>1.1032332288644078</v>
      </c>
      <c r="J25" s="160">
        <f>'прил.1'!M25/1.2</f>
        <v>1.1032332288644078</v>
      </c>
      <c r="K25" s="166"/>
      <c r="L25" s="160">
        <f t="shared" si="6"/>
        <v>0</v>
      </c>
      <c r="M25" s="160">
        <f>'прил.1'!N25/1.2</f>
        <v>0</v>
      </c>
      <c r="N25" s="166"/>
      <c r="O25" s="166"/>
      <c r="P25" s="160">
        <f t="shared" si="7"/>
        <v>1.1032332288644078</v>
      </c>
      <c r="Q25" s="160"/>
      <c r="R25" s="160">
        <f t="shared" si="1"/>
        <v>0</v>
      </c>
      <c r="S25" s="163">
        <f>'прил.1'!Q25-'прил.1'!W25</f>
        <v>0</v>
      </c>
      <c r="T25" s="163">
        <f>'прил.1'!Y25-'прил.1'!AE25</f>
        <v>1.1032332288644078</v>
      </c>
      <c r="U25" s="165">
        <f>'прил.1'!AG25-'прил.1'!AM25</f>
        <v>0</v>
      </c>
      <c r="V25" s="163">
        <f>'прил.1'!AO25-'прил.1'!AU25</f>
        <v>0</v>
      </c>
      <c r="W25" s="209">
        <f t="shared" si="8"/>
        <v>1.1032332288644078</v>
      </c>
      <c r="X25" s="246">
        <f t="shared" si="2"/>
        <v>0</v>
      </c>
      <c r="Y25" s="39">
        <f t="shared" si="4"/>
        <v>0</v>
      </c>
      <c r="Z25" s="159">
        <f t="shared" si="3"/>
        <v>0</v>
      </c>
      <c r="AC25" s="39"/>
      <c r="AD25" s="98"/>
    </row>
    <row r="26" spans="1:30" ht="15.75">
      <c r="A26" s="67" t="str">
        <f>'прил.1'!A26</f>
        <v>2.7.</v>
      </c>
      <c r="B26" s="128" t="str">
        <f>'прил.1'!B26</f>
        <v>Моноблок 23.8" HP 24-df1008ur (2Y0P0EA)</v>
      </c>
      <c r="C26" s="129" t="str">
        <f>'прил.1'!C18</f>
        <v>L_КАЭС.01</v>
      </c>
      <c r="D26" s="104">
        <f>'прил.1'!D26</f>
        <v>2022</v>
      </c>
      <c r="E26" s="104">
        <f>'прил.1'!E26</f>
        <v>2023</v>
      </c>
      <c r="F26" s="104">
        <f>'прил.1'!F26</f>
        <v>2023</v>
      </c>
      <c r="G26" s="163">
        <f>'прил.1'!H26/1.2</f>
        <v>12.9965</v>
      </c>
      <c r="H26" s="163">
        <f>'прил.1'!K26/1.2</f>
        <v>6.49825</v>
      </c>
      <c r="I26" s="160">
        <f>SUM(J26:K26)</f>
        <v>12.9965</v>
      </c>
      <c r="J26" s="160">
        <f>'прил.1'!M26/1.2</f>
        <v>12.9965</v>
      </c>
      <c r="K26" s="166"/>
      <c r="L26" s="160">
        <f>SUM(M26:N26)</f>
        <v>6.49825</v>
      </c>
      <c r="M26" s="160">
        <f>'прил.1'!N26/1.2</f>
        <v>6.49825</v>
      </c>
      <c r="N26" s="166"/>
      <c r="O26" s="166"/>
      <c r="P26" s="160">
        <f>W26</f>
        <v>12.9965</v>
      </c>
      <c r="Q26" s="160"/>
      <c r="R26" s="160">
        <f t="shared" si="1"/>
        <v>6.49825</v>
      </c>
      <c r="S26" s="163">
        <f>'прил.1'!Q26-'прил.1'!W26</f>
        <v>0</v>
      </c>
      <c r="T26" s="163">
        <f>'прил.1'!Y26-'прил.1'!AE26</f>
        <v>6.49825</v>
      </c>
      <c r="U26" s="165">
        <f>'прил.1'!AG26-'прил.1'!AM26</f>
        <v>0</v>
      </c>
      <c r="V26" s="163">
        <f>'прил.1'!AO26-'прил.1'!AU26</f>
        <v>6.49825</v>
      </c>
      <c r="W26" s="209">
        <f t="shared" si="8"/>
        <v>12.9965</v>
      </c>
      <c r="X26" s="246">
        <f t="shared" si="2"/>
        <v>6.49825</v>
      </c>
      <c r="Y26" s="39"/>
      <c r="Z26" s="159">
        <f t="shared" si="3"/>
        <v>0</v>
      </c>
      <c r="AC26" s="39"/>
      <c r="AD26" s="98"/>
    </row>
    <row r="27" spans="1:30" ht="15.75">
      <c r="A27" s="66" t="str">
        <f>'прил.1'!A27</f>
        <v>3.</v>
      </c>
      <c r="B27" s="42" t="str">
        <f>'прил.1'!B27</f>
        <v>Оснащение интеллектуальной системой учета</v>
      </c>
      <c r="C27" s="135"/>
      <c r="D27" s="136"/>
      <c r="E27" s="136"/>
      <c r="F27" s="136"/>
      <c r="G27" s="160"/>
      <c r="H27" s="160"/>
      <c r="I27" s="160"/>
      <c r="J27" s="160"/>
      <c r="K27" s="164"/>
      <c r="L27" s="160"/>
      <c r="M27" s="160"/>
      <c r="N27" s="164"/>
      <c r="O27" s="164"/>
      <c r="P27" s="160"/>
      <c r="Q27" s="160"/>
      <c r="R27" s="160">
        <f t="shared" si="1"/>
        <v>0</v>
      </c>
      <c r="S27" s="181"/>
      <c r="T27" s="181"/>
      <c r="U27" s="165">
        <f>'прил.1'!AG27-'прил.1'!AM27</f>
        <v>0</v>
      </c>
      <c r="V27" s="181"/>
      <c r="W27" s="207"/>
      <c r="X27" s="246">
        <f t="shared" si="2"/>
        <v>0</v>
      </c>
      <c r="Y27" s="39">
        <f t="shared" si="4"/>
        <v>0</v>
      </c>
      <c r="Z27" s="159">
        <f t="shared" si="3"/>
        <v>0</v>
      </c>
      <c r="AC27" s="39"/>
      <c r="AD27" s="98"/>
    </row>
    <row r="28" spans="1:30" ht="15.75">
      <c r="A28" s="67" t="str">
        <f>'прил.1'!A28</f>
        <v>3.1.</v>
      </c>
      <c r="B28" s="128" t="str">
        <f>'прил.1'!B28</f>
        <v>Оборудование многоквартирных жилых домов интеллектуальной системой учета </v>
      </c>
      <c r="C28" s="35" t="str">
        <f>'прил.1'!C28</f>
        <v>K_L15</v>
      </c>
      <c r="D28" s="104">
        <f>'прил.1'!D28</f>
        <v>2021</v>
      </c>
      <c r="E28" s="104">
        <f>'прил.1'!E28</f>
        <v>2023</v>
      </c>
      <c r="F28" s="104">
        <f>'прил.1'!F28</f>
        <v>2023</v>
      </c>
      <c r="G28" s="163">
        <f>'прил.1'!H28/1.2</f>
        <v>670.8324802166667</v>
      </c>
      <c r="H28" s="163">
        <f>'прил.1'!K28/1.2</f>
        <v>595.7694301083334</v>
      </c>
      <c r="I28" s="160">
        <f>SUM(J28:K28)</f>
        <v>696.8115434666668</v>
      </c>
      <c r="J28" s="160">
        <f>'прил.1'!M28/1.2</f>
        <v>696.8115434666668</v>
      </c>
      <c r="K28" s="164"/>
      <c r="L28" s="160">
        <f>SUM(M28:N28)</f>
        <v>613.0472630416667</v>
      </c>
      <c r="M28" s="160">
        <f>'прил.1'!N28/1.2</f>
        <v>613.0472630416667</v>
      </c>
      <c r="N28" s="164"/>
      <c r="O28" s="164"/>
      <c r="P28" s="160">
        <f>W28</f>
        <v>696.8115434666666</v>
      </c>
      <c r="Q28" s="160"/>
      <c r="R28" s="160">
        <f t="shared" si="1"/>
        <v>613.0472630416666</v>
      </c>
      <c r="S28" s="165">
        <f>'прил.1'!Q28-'прил.1'!W28</f>
        <v>232.33305964166664</v>
      </c>
      <c r="T28" s="165">
        <f>'прил.1'!Y28-'прил.1'!AE28</f>
        <v>232.260640425</v>
      </c>
      <c r="U28" s="165">
        <f>'прил.1'!AG28-'прил.1'!AM28</f>
        <v>148.49635999999998</v>
      </c>
      <c r="V28" s="165">
        <f>'прил.1'!AO28-'прил.1'!AU28</f>
        <v>232.2178434</v>
      </c>
      <c r="W28" s="207">
        <f>S28+T28+V28</f>
        <v>696.8115434666666</v>
      </c>
      <c r="X28" s="246">
        <f t="shared" si="2"/>
        <v>613.0472630416666</v>
      </c>
      <c r="Y28" s="39">
        <f t="shared" si="4"/>
        <v>0</v>
      </c>
      <c r="Z28" s="159">
        <f t="shared" si="3"/>
        <v>0</v>
      </c>
      <c r="AC28" s="39"/>
      <c r="AD28" s="98"/>
    </row>
    <row r="29" spans="1:30" ht="15.75">
      <c r="A29" s="71" t="str">
        <f>'прил.1'!A29</f>
        <v>4.</v>
      </c>
      <c r="B29" s="130" t="str">
        <f>'прил.1'!B29</f>
        <v>Иные проекты</v>
      </c>
      <c r="C29" s="35"/>
      <c r="D29" s="104"/>
      <c r="E29" s="104"/>
      <c r="F29" s="104"/>
      <c r="G29" s="167"/>
      <c r="H29" s="167"/>
      <c r="I29" s="167"/>
      <c r="J29" s="167"/>
      <c r="K29" s="164"/>
      <c r="L29" s="167"/>
      <c r="M29" s="167"/>
      <c r="N29" s="164"/>
      <c r="O29" s="164"/>
      <c r="P29" s="160"/>
      <c r="Q29" s="160"/>
      <c r="R29" s="160">
        <f t="shared" si="1"/>
        <v>0</v>
      </c>
      <c r="S29" s="165"/>
      <c r="T29" s="165"/>
      <c r="U29" s="165">
        <f>'прил.1'!AG29-'прил.1'!AM29</f>
        <v>0</v>
      </c>
      <c r="V29" s="165"/>
      <c r="W29" s="207"/>
      <c r="X29" s="246">
        <f t="shared" si="2"/>
        <v>0</v>
      </c>
      <c r="Y29" s="39">
        <f t="shared" si="4"/>
        <v>0</v>
      </c>
      <c r="Z29" s="159">
        <f t="shared" si="3"/>
        <v>0</v>
      </c>
      <c r="AC29" s="39"/>
      <c r="AD29" s="98"/>
    </row>
    <row r="30" spans="1:30" ht="15.75">
      <c r="A30" s="67" t="str">
        <f>'прил.1'!A30</f>
        <v>4.1.</v>
      </c>
      <c r="B30" s="37" t="str">
        <f>'прил.1'!B30</f>
        <v>Модернизация ЕКЦ (Робот-оператор)</v>
      </c>
      <c r="C30" s="35" t="str">
        <f>'прил.1'!C30</f>
        <v>L_КАЭС.03</v>
      </c>
      <c r="D30" s="104">
        <f>'прил.1'!D30</f>
        <v>2022</v>
      </c>
      <c r="E30" s="104">
        <f>'прил.1'!E30</f>
        <v>2022</v>
      </c>
      <c r="F30" s="104"/>
      <c r="G30" s="167">
        <f>'прил.1'!H30/1.2</f>
        <v>22.756666666666668</v>
      </c>
      <c r="H30" s="167">
        <f>'прил.1'!K30/1.2</f>
        <v>0</v>
      </c>
      <c r="I30" s="167">
        <f>SUM(J30:K30)</f>
        <v>22.756666666666668</v>
      </c>
      <c r="J30" s="160">
        <f>'прил.1'!M30/1.2</f>
        <v>22.756666666666668</v>
      </c>
      <c r="K30" s="163"/>
      <c r="L30" s="167">
        <f>SUM(M30:N30)</f>
        <v>0</v>
      </c>
      <c r="M30" s="160">
        <f>'прил.1'!N30/1.2</f>
        <v>0</v>
      </c>
      <c r="N30" s="163"/>
      <c r="O30" s="164"/>
      <c r="P30" s="160">
        <f>W30</f>
        <v>22.756666666666668</v>
      </c>
      <c r="Q30" s="160"/>
      <c r="R30" s="160">
        <f t="shared" si="1"/>
        <v>0</v>
      </c>
      <c r="S30" s="165">
        <f>'прил.1'!Q30-'прил.1'!W30</f>
        <v>0</v>
      </c>
      <c r="T30" s="165">
        <f>'прил.1'!Y30-'прил.1'!AE30</f>
        <v>22.756666666666668</v>
      </c>
      <c r="U30" s="165">
        <f>'прил.1'!AG30-'прил.1'!AM30</f>
        <v>0</v>
      </c>
      <c r="V30" s="165">
        <f>'прил.1'!AO30-'прил.1'!AU30</f>
        <v>0</v>
      </c>
      <c r="W30" s="207">
        <f>S30+T30+V30</f>
        <v>22.756666666666668</v>
      </c>
      <c r="X30" s="246">
        <f t="shared" si="2"/>
        <v>0</v>
      </c>
      <c r="Y30" s="39">
        <f t="shared" si="4"/>
        <v>0</v>
      </c>
      <c r="Z30" s="159">
        <f t="shared" si="3"/>
        <v>0</v>
      </c>
      <c r="AC30" s="39"/>
      <c r="AD30" s="98"/>
    </row>
    <row r="31" spans="1:28" s="34" customFormat="1" ht="17.25" thickBot="1">
      <c r="A31" s="69"/>
      <c r="B31" s="146" t="s">
        <v>141</v>
      </c>
      <c r="C31" s="147"/>
      <c r="D31" s="148"/>
      <c r="E31" s="148"/>
      <c r="F31" s="148"/>
      <c r="G31" s="168">
        <f aca="true" t="shared" si="9" ref="G31:X31">SUM(G13:G30)</f>
        <v>740.3828940778916</v>
      </c>
      <c r="H31" s="168">
        <f>SUM(H13:H30)</f>
        <v>618.5554038186463</v>
      </c>
      <c r="I31" s="168">
        <f t="shared" si="9"/>
        <v>766.5781253278917</v>
      </c>
      <c r="J31" s="168">
        <f t="shared" si="9"/>
        <v>766.5781253278917</v>
      </c>
      <c r="K31" s="168">
        <f t="shared" si="9"/>
        <v>0</v>
      </c>
      <c r="L31" s="168">
        <f>SUM(L13:L30)</f>
        <v>635.9744047519796</v>
      </c>
      <c r="M31" s="168">
        <f>SUM(M13:M30)</f>
        <v>635.9744047519796</v>
      </c>
      <c r="N31" s="168">
        <f>SUM(N13:N30)</f>
        <v>0</v>
      </c>
      <c r="O31" s="168">
        <f t="shared" si="9"/>
        <v>0</v>
      </c>
      <c r="P31" s="168">
        <f t="shared" si="9"/>
        <v>766.5781253278916</v>
      </c>
      <c r="Q31" s="168"/>
      <c r="R31" s="168">
        <f t="shared" si="9"/>
        <v>635.9744047519795</v>
      </c>
      <c r="S31" s="168">
        <f t="shared" si="9"/>
        <v>232.33305964166664</v>
      </c>
      <c r="T31" s="168">
        <f t="shared" si="9"/>
        <v>279.10008057591205</v>
      </c>
      <c r="U31" s="168">
        <f t="shared" si="9"/>
        <v>148.49635999999998</v>
      </c>
      <c r="V31" s="168">
        <f t="shared" si="9"/>
        <v>255.14498511031283</v>
      </c>
      <c r="W31" s="247">
        <f t="shared" si="9"/>
        <v>766.5781253278916</v>
      </c>
      <c r="X31" s="169">
        <f t="shared" si="9"/>
        <v>635.9744047519795</v>
      </c>
      <c r="Y31" s="39">
        <f>W31-I31</f>
        <v>0</v>
      </c>
      <c r="Z31" s="159">
        <f t="shared" si="3"/>
        <v>0</v>
      </c>
      <c r="AB31" s="1"/>
    </row>
    <row r="32" spans="1:24" ht="24" customHeight="1">
      <c r="A32" s="105"/>
      <c r="B32" s="106"/>
      <c r="C32" s="17"/>
      <c r="D32" s="17"/>
      <c r="E32" s="17"/>
      <c r="F32" s="17"/>
      <c r="G32" s="60"/>
      <c r="H32" s="60"/>
      <c r="I32" s="60"/>
      <c r="J32" s="60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210"/>
    </row>
    <row r="33" spans="1:38" ht="20.25">
      <c r="A33" s="255"/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</row>
    <row r="34" spans="1:24" ht="15.75">
      <c r="A34" s="105"/>
      <c r="B34" s="10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64"/>
      <c r="T34" s="64"/>
      <c r="U34" s="64"/>
      <c r="V34" s="64"/>
      <c r="W34" s="17"/>
      <c r="X34" s="17"/>
    </row>
    <row r="35" spans="1:24" ht="15.75">
      <c r="A35" s="105"/>
      <c r="B35" s="106"/>
      <c r="C35" s="17"/>
      <c r="D35" s="17"/>
      <c r="E35" s="17"/>
      <c r="F35" s="17"/>
      <c r="G35" s="158">
        <f>G31-G30-G28-G26-G25-G24-G23-G22-G21-G20-G17-G16-G15-G14-G18</f>
        <v>0</v>
      </c>
      <c r="H35" s="158">
        <f>H31-H30-H28-H26-H25-H24-H23-H22-H21-H20-H17-H16-H15-H14-H18</f>
        <v>3.9968028886505635E-14</v>
      </c>
      <c r="I35" s="158">
        <f>I31-I30-I28-I26-I25-I24-I23-I22-I21-I20-I17-I16-I15-I14-I18</f>
        <v>3.730349362740526E-14</v>
      </c>
      <c r="J35" s="158">
        <f aca="true" t="shared" si="10" ref="J35:X35">J31-J30-J28-J26-J25-J24-J23-J22-J21-J20-J17-J16-J15-J14-J18</f>
        <v>3.730349362740526E-14</v>
      </c>
      <c r="K35" s="158">
        <f t="shared" si="10"/>
        <v>0</v>
      </c>
      <c r="L35" s="158">
        <f t="shared" si="10"/>
        <v>3.3306690738754696E-14</v>
      </c>
      <c r="M35" s="158">
        <f t="shared" si="10"/>
        <v>3.3306690738754696E-14</v>
      </c>
      <c r="N35" s="158">
        <f t="shared" si="10"/>
        <v>0</v>
      </c>
      <c r="O35" s="158">
        <f t="shared" si="10"/>
        <v>0</v>
      </c>
      <c r="P35" s="158">
        <f t="shared" si="10"/>
        <v>4.1300296516055823E-14</v>
      </c>
      <c r="Q35" s="158">
        <f t="shared" si="10"/>
        <v>0</v>
      </c>
      <c r="R35" s="158">
        <f t="shared" si="10"/>
        <v>3.5083047578154947E-14</v>
      </c>
      <c r="S35" s="158">
        <f t="shared" si="10"/>
        <v>0</v>
      </c>
      <c r="T35" s="158">
        <f t="shared" si="10"/>
        <v>-2.1316282072803006E-14</v>
      </c>
      <c r="U35" s="158">
        <f t="shared" si="10"/>
        <v>0</v>
      </c>
      <c r="V35" s="158">
        <f t="shared" si="10"/>
        <v>6.661338147750939E-15</v>
      </c>
      <c r="W35" s="158">
        <f t="shared" si="10"/>
        <v>4.1300296516055823E-14</v>
      </c>
      <c r="X35" s="158">
        <f t="shared" si="10"/>
        <v>3.5083047578154947E-14</v>
      </c>
    </row>
    <row r="36" spans="1:24" ht="15.75">
      <c r="A36" s="105"/>
      <c r="B36" s="106"/>
      <c r="C36" s="17"/>
      <c r="D36" s="17"/>
      <c r="E36" s="17"/>
      <c r="F36" s="17"/>
      <c r="G36" s="99"/>
      <c r="H36" s="99"/>
      <c r="I36" s="99"/>
      <c r="J36" s="17"/>
      <c r="K36" s="17"/>
      <c r="L36" s="17"/>
      <c r="M36" s="17"/>
      <c r="N36" s="17"/>
      <c r="O36" s="17"/>
      <c r="P36" s="17"/>
      <c r="Q36" s="17"/>
      <c r="R36" s="17"/>
      <c r="S36" s="107"/>
      <c r="T36" s="102"/>
      <c r="U36" s="102"/>
      <c r="V36" s="102"/>
      <c r="W36" s="64"/>
      <c r="X36" s="64"/>
    </row>
    <row r="37" spans="1:24" ht="15.75">
      <c r="A37" s="105"/>
      <c r="B37" s="10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0"/>
      <c r="T37" s="17"/>
      <c r="U37" s="17"/>
      <c r="V37" s="17"/>
      <c r="W37" s="17"/>
      <c r="X37" s="17"/>
    </row>
    <row r="38" spans="1:24" ht="15.75">
      <c r="A38" s="105"/>
      <c r="B38" s="10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</row>
    <row r="39" spans="1:24" ht="15.75">
      <c r="A39" s="105"/>
      <c r="B39" s="10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</row>
    <row r="40" spans="1:24" ht="15.75">
      <c r="A40" s="105"/>
      <c r="B40" s="10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</row>
    <row r="41" spans="1:24" ht="15.75">
      <c r="A41" s="105"/>
      <c r="B41" s="10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</row>
    <row r="42" spans="1:24" ht="15.75">
      <c r="A42" s="105"/>
      <c r="B42" s="10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</row>
    <row r="43" spans="1:24" ht="15.75">
      <c r="A43" s="105"/>
      <c r="B43" s="10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</row>
    <row r="44" spans="1:24" ht="15.75">
      <c r="A44" s="105"/>
      <c r="B44" s="10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</row>
    <row r="45" spans="1:24" ht="15.75">
      <c r="A45" s="105"/>
      <c r="B45" s="10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</row>
    <row r="46" spans="1:24" ht="15.75">
      <c r="A46" s="105"/>
      <c r="B46" s="10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</row>
    <row r="47" spans="1:24" ht="15.75">
      <c r="A47" s="105"/>
      <c r="B47" s="10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</row>
    <row r="48" spans="1:24" ht="15.75">
      <c r="A48" s="105"/>
      <c r="B48" s="10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</row>
    <row r="49" spans="1:24" ht="15.75">
      <c r="A49" s="105"/>
      <c r="B49" s="10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</row>
    <row r="50" spans="1:24" ht="15.75">
      <c r="A50" s="105"/>
      <c r="B50" s="10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</row>
    <row r="51" spans="1:24" ht="15.75">
      <c r="A51" s="105"/>
      <c r="B51" s="10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</row>
    <row r="52" spans="1:24" ht="15.75">
      <c r="A52" s="105"/>
      <c r="B52" s="10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</row>
    <row r="53" spans="1:24" ht="15.75">
      <c r="A53" s="105"/>
      <c r="B53" s="10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</row>
    <row r="54" spans="1:24" ht="15.75">
      <c r="A54" s="105"/>
      <c r="B54" s="10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</row>
    <row r="55" spans="1:24" ht="15.75">
      <c r="A55" s="105"/>
      <c r="B55" s="10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</row>
    <row r="56" spans="1:24" ht="15.75">
      <c r="A56" s="105"/>
      <c r="B56" s="10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</row>
    <row r="57" spans="1:24" ht="15.75">
      <c r="A57" s="105"/>
      <c r="B57" s="10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</row>
    <row r="58" spans="1:24" ht="15.75">
      <c r="A58" s="105"/>
      <c r="B58" s="10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</row>
    <row r="59" spans="1:24" ht="15.75">
      <c r="A59" s="105"/>
      <c r="B59" s="106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</row>
    <row r="60" spans="1:24" ht="15.75">
      <c r="A60" s="105"/>
      <c r="B60" s="10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</row>
    <row r="61" spans="1:24" ht="15.75">
      <c r="A61" s="105"/>
      <c r="B61" s="10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</row>
    <row r="62" spans="1:24" ht="15.75">
      <c r="A62" s="105"/>
      <c r="B62" s="10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</row>
    <row r="63" spans="1:24" ht="15.75">
      <c r="A63" s="105"/>
      <c r="B63" s="10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</row>
    <row r="64" spans="1:24" ht="15.75">
      <c r="A64" s="105"/>
      <c r="B64" s="10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</row>
    <row r="65" spans="1:24" ht="15.75">
      <c r="A65" s="105"/>
      <c r="B65" s="10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</row>
    <row r="66" spans="1:24" ht="15.75">
      <c r="A66" s="105"/>
      <c r="B66" s="10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</row>
    <row r="67" spans="1:24" ht="15.75">
      <c r="A67" s="105"/>
      <c r="B67" s="10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</row>
    <row r="68" spans="1:24" ht="15.75">
      <c r="A68" s="105"/>
      <c r="B68" s="10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</row>
    <row r="69" spans="1:24" ht="15.75">
      <c r="A69" s="105"/>
      <c r="B69" s="10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</row>
    <row r="70" spans="1:24" ht="15.75">
      <c r="A70" s="105"/>
      <c r="B70" s="10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</row>
    <row r="71" spans="1:24" ht="15.75">
      <c r="A71" s="105"/>
      <c r="B71" s="10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</row>
    <row r="72" spans="1:24" ht="15.75">
      <c r="A72" s="105"/>
      <c r="B72" s="10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</row>
    <row r="73" spans="1:24" ht="15.75">
      <c r="A73" s="105"/>
      <c r="B73" s="10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</row>
    <row r="74" spans="1:24" ht="15.75">
      <c r="A74" s="105"/>
      <c r="B74" s="10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</row>
    <row r="75" spans="1:24" ht="15.75">
      <c r="A75" s="105"/>
      <c r="B75" s="10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</row>
    <row r="76" spans="1:24" ht="15.75">
      <c r="A76" s="105"/>
      <c r="B76" s="10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</row>
    <row r="77" spans="1:24" ht="15.75">
      <c r="A77" s="105"/>
      <c r="B77" s="10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</row>
    <row r="78" spans="1:24" ht="15.75">
      <c r="A78" s="105"/>
      <c r="B78" s="10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</row>
    <row r="79" spans="1:24" ht="15.75">
      <c r="A79" s="105"/>
      <c r="B79" s="106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</row>
    <row r="80" spans="1:24" ht="15.75">
      <c r="A80" s="105"/>
      <c r="B80" s="106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</row>
    <row r="82" spans="1:24" ht="17.25" customHeight="1">
      <c r="A82" s="280"/>
      <c r="B82" s="280"/>
      <c r="C82" s="280"/>
      <c r="D82" s="280"/>
      <c r="E82" s="280"/>
      <c r="F82" s="280"/>
      <c r="G82" s="280"/>
      <c r="H82" s="280"/>
      <c r="I82" s="280"/>
      <c r="J82" s="280"/>
      <c r="K82" s="280"/>
      <c r="L82" s="280"/>
      <c r="M82" s="280"/>
      <c r="N82" s="280"/>
      <c r="O82" s="280"/>
      <c r="P82" s="280"/>
      <c r="Q82" s="280"/>
      <c r="R82" s="280"/>
      <c r="S82" s="280"/>
      <c r="T82" s="280"/>
      <c r="U82" s="280"/>
      <c r="V82" s="280"/>
      <c r="W82" s="280"/>
      <c r="X82" s="184"/>
    </row>
  </sheetData>
  <sheetProtection/>
  <mergeCells count="23">
    <mergeCell ref="T10:U10"/>
    <mergeCell ref="S9:X9"/>
    <mergeCell ref="X10:X11"/>
    <mergeCell ref="A82:W82"/>
    <mergeCell ref="I10:K10"/>
    <mergeCell ref="B9:B11"/>
    <mergeCell ref="C9:C11"/>
    <mergeCell ref="D9:D11"/>
    <mergeCell ref="A33:AL33"/>
    <mergeCell ref="G9:H10"/>
    <mergeCell ref="I9:N9"/>
    <mergeCell ref="L10:N10"/>
    <mergeCell ref="O9:R9"/>
    <mergeCell ref="A3:W3"/>
    <mergeCell ref="A4:W4"/>
    <mergeCell ref="A6:W6"/>
    <mergeCell ref="A7:W7"/>
    <mergeCell ref="A8:W8"/>
    <mergeCell ref="A9:A11"/>
    <mergeCell ref="O10:P10"/>
    <mergeCell ref="W10:W11"/>
    <mergeCell ref="E9:F10"/>
    <mergeCell ref="Q10:R10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J20:J26 J28 J30 G27:J27 G14:J18 L27:M27 L14:M18 M20:M26 M28 M30">
      <formula1>900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AI34"/>
  <sheetViews>
    <sheetView view="pageBreakPreview" zoomScale="70" zoomScaleNormal="62" zoomScaleSheetLayoutView="70" workbookViewId="0" topLeftCell="A1">
      <selection activeCell="J36" sqref="J36"/>
    </sheetView>
  </sheetViews>
  <sheetFormatPr defaultColWidth="9.00390625" defaultRowHeight="12.75" outlineLevelCol="1"/>
  <cols>
    <col min="1" max="1" width="13.00390625" style="1" customWidth="1"/>
    <col min="2" max="2" width="95.625" style="1" bestFit="1" customWidth="1"/>
    <col min="3" max="3" width="15.875" style="1" customWidth="1"/>
    <col min="4" max="4" width="14.25390625" style="1" customWidth="1"/>
    <col min="5" max="7" width="17.625" style="1" customWidth="1"/>
    <col min="8" max="8" width="10.00390625" style="1" customWidth="1"/>
    <col min="9" max="9" width="7.75390625" style="1" customWidth="1"/>
    <col min="10" max="10" width="10.00390625" style="1" customWidth="1" outlineLevel="1"/>
    <col min="11" max="11" width="7.75390625" style="1" customWidth="1" outlineLevel="1"/>
    <col min="12" max="12" width="10.00390625" style="1" customWidth="1" outlineLevel="1"/>
    <col min="13" max="13" width="7.75390625" style="1" customWidth="1" outlineLevel="1"/>
    <col min="14" max="14" width="10.00390625" style="1" customWidth="1" outlineLevel="1"/>
    <col min="15" max="15" width="7.75390625" style="1" customWidth="1" outlineLevel="1"/>
    <col min="16" max="16" width="10.00390625" style="1" customWidth="1" outlineLevel="1"/>
    <col min="17" max="17" width="7.75390625" style="1" customWidth="1" outlineLevel="1"/>
    <col min="18" max="18" width="9.625" style="1" customWidth="1"/>
    <col min="19" max="21" width="8.375" style="1" customWidth="1"/>
    <col min="22" max="22" width="9.25390625" style="1" customWidth="1"/>
    <col min="23" max="23" width="8.00390625" style="1" customWidth="1"/>
    <col min="24" max="24" width="10.125" style="1" customWidth="1"/>
    <col min="25" max="27" width="9.375" style="1" customWidth="1"/>
    <col min="28" max="28" width="5.75390625" style="1" customWidth="1"/>
    <col min="29" max="29" width="2.125" style="1" customWidth="1"/>
    <col min="30" max="37" width="5.75390625" style="1" customWidth="1"/>
    <col min="38" max="16384" width="9.125" style="1" customWidth="1"/>
  </cols>
  <sheetData>
    <row r="1" spans="1:27" ht="18.75">
      <c r="A1" s="14"/>
      <c r="B1" s="108"/>
      <c r="C1" s="108"/>
      <c r="D1" s="15"/>
      <c r="E1" s="15"/>
      <c r="F1" s="15"/>
      <c r="G1" s="15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X1" s="17"/>
      <c r="Y1" s="47" t="s">
        <v>120</v>
      </c>
      <c r="Z1" s="47"/>
      <c r="AA1" s="47"/>
    </row>
    <row r="2" spans="1:27" ht="18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Y2" s="3"/>
      <c r="Z2" s="3"/>
      <c r="AA2" s="3"/>
    </row>
    <row r="3" spans="1:27" ht="15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1:27" ht="15.75">
      <c r="A4" s="306" t="s">
        <v>22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110"/>
      <c r="Y4" s="110"/>
      <c r="Z4" s="110"/>
      <c r="AA4" s="110"/>
    </row>
    <row r="5" spans="1:27" ht="15.75">
      <c r="A5" s="307" t="s">
        <v>68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21"/>
      <c r="Y5" s="21"/>
      <c r="Z5" s="21"/>
      <c r="AA5" s="21"/>
    </row>
    <row r="6" spans="1:27" ht="15.75">
      <c r="A6" s="14"/>
      <c r="B6" s="111"/>
      <c r="C6" s="111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6"/>
      <c r="Y6" s="16"/>
      <c r="Z6" s="16"/>
      <c r="AA6" s="16"/>
    </row>
    <row r="7" spans="1:28" ht="18.75">
      <c r="A7" s="278" t="str">
        <f>'прил.1'!A6</f>
        <v>  "АтомЭнергоСбыт" Курск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2"/>
      <c r="Y7" s="22"/>
      <c r="Z7" s="22"/>
      <c r="AA7" s="22"/>
      <c r="AB7" s="95"/>
    </row>
    <row r="8" spans="1:28" ht="15.75">
      <c r="A8" s="271" t="s">
        <v>2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110"/>
      <c r="Y8" s="110"/>
      <c r="Z8" s="110"/>
      <c r="AA8" s="110"/>
      <c r="AB8" s="96"/>
    </row>
    <row r="9" spans="1:27" ht="16.5" thickBot="1">
      <c r="A9" s="308"/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112"/>
      <c r="Y9" s="112"/>
      <c r="Z9" s="112"/>
      <c r="AA9" s="112"/>
    </row>
    <row r="10" spans="1:27" ht="51.75" customHeight="1">
      <c r="A10" s="291" t="s">
        <v>3</v>
      </c>
      <c r="B10" s="293" t="s">
        <v>69</v>
      </c>
      <c r="C10" s="293" t="s">
        <v>70</v>
      </c>
      <c r="D10" s="259" t="s">
        <v>71</v>
      </c>
      <c r="E10" s="304"/>
      <c r="F10" s="304"/>
      <c r="G10" s="260"/>
      <c r="H10" s="297" t="s">
        <v>119</v>
      </c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/>
      <c r="AA10" s="299"/>
    </row>
    <row r="11" spans="1:27" ht="32.25" customHeight="1">
      <c r="A11" s="292"/>
      <c r="B11" s="290"/>
      <c r="C11" s="290"/>
      <c r="D11" s="261"/>
      <c r="E11" s="305"/>
      <c r="F11" s="305"/>
      <c r="G11" s="262"/>
      <c r="H11" s="284" t="s">
        <v>67</v>
      </c>
      <c r="I11" s="284"/>
      <c r="J11" s="290" t="s">
        <v>149</v>
      </c>
      <c r="K11" s="290"/>
      <c r="L11" s="290" t="s">
        <v>150</v>
      </c>
      <c r="M11" s="290"/>
      <c r="N11" s="290" t="s">
        <v>151</v>
      </c>
      <c r="O11" s="290"/>
      <c r="P11" s="290" t="s">
        <v>152</v>
      </c>
      <c r="Q11" s="290"/>
      <c r="R11" s="285" t="s">
        <v>114</v>
      </c>
      <c r="S11" s="286"/>
      <c r="T11" s="286"/>
      <c r="U11" s="287"/>
      <c r="V11" s="284" t="s">
        <v>148</v>
      </c>
      <c r="W11" s="284"/>
      <c r="X11" s="302" t="s">
        <v>72</v>
      </c>
      <c r="Y11" s="302"/>
      <c r="Z11" s="302"/>
      <c r="AA11" s="303"/>
    </row>
    <row r="12" spans="1:27" ht="45" customHeight="1">
      <c r="A12" s="292"/>
      <c r="B12" s="284"/>
      <c r="C12" s="284"/>
      <c r="D12" s="284" t="s">
        <v>11</v>
      </c>
      <c r="E12" s="284"/>
      <c r="F12" s="300" t="s">
        <v>190</v>
      </c>
      <c r="G12" s="300"/>
      <c r="H12" s="296" t="s">
        <v>121</v>
      </c>
      <c r="I12" s="284"/>
      <c r="J12" s="290" t="s">
        <v>121</v>
      </c>
      <c r="K12" s="284"/>
      <c r="L12" s="290" t="s">
        <v>121</v>
      </c>
      <c r="M12" s="284"/>
      <c r="N12" s="290" t="s">
        <v>121</v>
      </c>
      <c r="O12" s="284"/>
      <c r="P12" s="290" t="s">
        <v>121</v>
      </c>
      <c r="Q12" s="284"/>
      <c r="R12" s="290" t="s">
        <v>121</v>
      </c>
      <c r="S12" s="284"/>
      <c r="T12" s="288" t="s">
        <v>190</v>
      </c>
      <c r="U12" s="289"/>
      <c r="V12" s="290" t="s">
        <v>121</v>
      </c>
      <c r="W12" s="284"/>
      <c r="X12" s="284" t="s">
        <v>11</v>
      </c>
      <c r="Y12" s="284"/>
      <c r="Z12" s="300" t="s">
        <v>190</v>
      </c>
      <c r="AA12" s="301"/>
    </row>
    <row r="13" spans="1:27" ht="60.75" customHeight="1">
      <c r="A13" s="292"/>
      <c r="B13" s="294"/>
      <c r="C13" s="295"/>
      <c r="D13" s="7" t="s">
        <v>73</v>
      </c>
      <c r="E13" s="7" t="s">
        <v>74</v>
      </c>
      <c r="F13" s="7" t="s">
        <v>73</v>
      </c>
      <c r="G13" s="7" t="s">
        <v>74</v>
      </c>
      <c r="H13" s="7" t="s">
        <v>73</v>
      </c>
      <c r="I13" s="7" t="s">
        <v>74</v>
      </c>
      <c r="J13" s="7" t="s">
        <v>73</v>
      </c>
      <c r="K13" s="7" t="s">
        <v>74</v>
      </c>
      <c r="L13" s="7" t="s">
        <v>73</v>
      </c>
      <c r="M13" s="7" t="s">
        <v>74</v>
      </c>
      <c r="N13" s="7" t="s">
        <v>73</v>
      </c>
      <c r="O13" s="7" t="s">
        <v>74</v>
      </c>
      <c r="P13" s="7" t="s">
        <v>73</v>
      </c>
      <c r="Q13" s="7" t="s">
        <v>74</v>
      </c>
      <c r="R13" s="7" t="s">
        <v>73</v>
      </c>
      <c r="S13" s="7" t="s">
        <v>74</v>
      </c>
      <c r="T13" s="7" t="s">
        <v>73</v>
      </c>
      <c r="U13" s="7" t="s">
        <v>74</v>
      </c>
      <c r="V13" s="7" t="s">
        <v>73</v>
      </c>
      <c r="W13" s="7" t="s">
        <v>74</v>
      </c>
      <c r="X13" s="7" t="s">
        <v>73</v>
      </c>
      <c r="Y13" s="7" t="s">
        <v>74</v>
      </c>
      <c r="Z13" s="7" t="s">
        <v>73</v>
      </c>
      <c r="AA13" s="73" t="s">
        <v>74</v>
      </c>
    </row>
    <row r="14" spans="1:27" ht="15.75">
      <c r="A14" s="65">
        <v>1</v>
      </c>
      <c r="B14" s="30">
        <f>A14+1</f>
        <v>2</v>
      </c>
      <c r="C14" s="30">
        <f aca="true" t="shared" si="0" ref="C14:AA14">B14+1</f>
        <v>3</v>
      </c>
      <c r="D14" s="30">
        <f t="shared" si="0"/>
        <v>4</v>
      </c>
      <c r="E14" s="30">
        <f t="shared" si="0"/>
        <v>5</v>
      </c>
      <c r="F14" s="30">
        <f t="shared" si="0"/>
        <v>6</v>
      </c>
      <c r="G14" s="30">
        <f t="shared" si="0"/>
        <v>7</v>
      </c>
      <c r="H14" s="30">
        <f t="shared" si="0"/>
        <v>8</v>
      </c>
      <c r="I14" s="30">
        <f t="shared" si="0"/>
        <v>9</v>
      </c>
      <c r="J14" s="30">
        <f t="shared" si="0"/>
        <v>10</v>
      </c>
      <c r="K14" s="30">
        <f t="shared" si="0"/>
        <v>11</v>
      </c>
      <c r="L14" s="30">
        <f t="shared" si="0"/>
        <v>12</v>
      </c>
      <c r="M14" s="30">
        <f t="shared" si="0"/>
        <v>13</v>
      </c>
      <c r="N14" s="30">
        <f t="shared" si="0"/>
        <v>14</v>
      </c>
      <c r="O14" s="30">
        <f t="shared" si="0"/>
        <v>15</v>
      </c>
      <c r="P14" s="30">
        <f t="shared" si="0"/>
        <v>16</v>
      </c>
      <c r="Q14" s="30">
        <f t="shared" si="0"/>
        <v>17</v>
      </c>
      <c r="R14" s="30">
        <f t="shared" si="0"/>
        <v>18</v>
      </c>
      <c r="S14" s="30">
        <f t="shared" si="0"/>
        <v>19</v>
      </c>
      <c r="T14" s="30">
        <f t="shared" si="0"/>
        <v>20</v>
      </c>
      <c r="U14" s="30">
        <f t="shared" si="0"/>
        <v>21</v>
      </c>
      <c r="V14" s="30">
        <f t="shared" si="0"/>
        <v>22</v>
      </c>
      <c r="W14" s="30">
        <f t="shared" si="0"/>
        <v>23</v>
      </c>
      <c r="X14" s="30">
        <f t="shared" si="0"/>
        <v>24</v>
      </c>
      <c r="Y14" s="30">
        <f t="shared" si="0"/>
        <v>25</v>
      </c>
      <c r="Z14" s="30">
        <f t="shared" si="0"/>
        <v>26</v>
      </c>
      <c r="AA14" s="30">
        <f t="shared" si="0"/>
        <v>27</v>
      </c>
    </row>
    <row r="15" spans="1:29" ht="15.75">
      <c r="A15" s="71" t="str">
        <f>'прил.1'!A13</f>
        <v>1.</v>
      </c>
      <c r="B15" s="42" t="s">
        <v>105</v>
      </c>
      <c r="C15" s="35"/>
      <c r="D15" s="31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9"/>
      <c r="Z15" s="6"/>
      <c r="AA15" s="74"/>
      <c r="AB15" s="1">
        <f>X15-V15-R15-H15</f>
        <v>0</v>
      </c>
      <c r="AC15" s="1">
        <f>D15-X15</f>
        <v>0</v>
      </c>
    </row>
    <row r="16" spans="1:29" ht="15.75">
      <c r="A16" s="67" t="str">
        <f>'прил.1'!A14</f>
        <v>1.1.</v>
      </c>
      <c r="B16" s="37" t="str">
        <f>'прил.1'!B14</f>
        <v>Установка шлагбаумов: г.Курск, ул. Энгельса, д.134 </v>
      </c>
      <c r="C16" s="38" t="str">
        <f>'прил.1'!C14</f>
        <v>K_L01</v>
      </c>
      <c r="D16" s="46">
        <f>X16</f>
        <v>2</v>
      </c>
      <c r="E16" s="6"/>
      <c r="F16" s="6">
        <f>Z16</f>
        <v>0</v>
      </c>
      <c r="G16" s="6">
        <f aca="true" t="shared" si="1" ref="G16:G32">AA16</f>
        <v>0</v>
      </c>
      <c r="H16" s="6">
        <f>J16+L16+N16+P16</f>
        <v>0</v>
      </c>
      <c r="I16" s="6"/>
      <c r="J16" s="6"/>
      <c r="K16" s="6"/>
      <c r="L16" s="6"/>
      <c r="M16" s="6"/>
      <c r="N16" s="6"/>
      <c r="O16" s="6"/>
      <c r="P16" s="6"/>
      <c r="Q16" s="6"/>
      <c r="R16" s="6">
        <v>2</v>
      </c>
      <c r="S16" s="6"/>
      <c r="T16" s="6"/>
      <c r="U16" s="6"/>
      <c r="V16" s="6"/>
      <c r="W16" s="6"/>
      <c r="X16" s="6">
        <f>V16+R16+H16</f>
        <v>2</v>
      </c>
      <c r="Y16" s="9"/>
      <c r="Z16" s="6">
        <f>H16+T16+V16</f>
        <v>0</v>
      </c>
      <c r="AA16" s="74">
        <f aca="true" t="shared" si="2" ref="AA16:AA32">I16+U16+W16</f>
        <v>0</v>
      </c>
      <c r="AB16" s="1">
        <f>X16-V16-R16-H16</f>
        <v>0</v>
      </c>
      <c r="AC16" s="1">
        <f>D16-X16</f>
        <v>0</v>
      </c>
    </row>
    <row r="17" spans="1:27" ht="15.75">
      <c r="A17" s="67" t="str">
        <f>'прил.1'!A15</f>
        <v>1.2.</v>
      </c>
      <c r="B17" s="122" t="str">
        <f>'прил.1'!B15</f>
        <v>Модернизация системы контроля и управления доступом: г. Курск, ул. Энгельса, д. 134</v>
      </c>
      <c r="C17" s="127" t="str">
        <f>'прил.1'!C15</f>
        <v>K_L02</v>
      </c>
      <c r="D17" s="46">
        <f>X17</f>
        <v>1</v>
      </c>
      <c r="E17" s="6"/>
      <c r="F17" s="6">
        <f aca="true" t="shared" si="3" ref="F17:F32">Z17</f>
        <v>0</v>
      </c>
      <c r="G17" s="6">
        <f t="shared" si="1"/>
        <v>0</v>
      </c>
      <c r="H17" s="6">
        <f>J17+L17+N17+P17</f>
        <v>0</v>
      </c>
      <c r="I17" s="6"/>
      <c r="J17" s="6"/>
      <c r="K17" s="6"/>
      <c r="L17" s="6"/>
      <c r="M17" s="6"/>
      <c r="N17" s="6"/>
      <c r="O17" s="6"/>
      <c r="P17" s="6"/>
      <c r="Q17" s="6"/>
      <c r="R17" s="6">
        <v>1</v>
      </c>
      <c r="S17" s="6"/>
      <c r="T17" s="6"/>
      <c r="U17" s="6"/>
      <c r="V17" s="6"/>
      <c r="W17" s="6"/>
      <c r="X17" s="6">
        <f>V17+R17+H17</f>
        <v>1</v>
      </c>
      <c r="Y17" s="9"/>
      <c r="Z17" s="6">
        <f aca="true" t="shared" si="4" ref="Z17:Z32">H17+T17+V17</f>
        <v>0</v>
      </c>
      <c r="AA17" s="74">
        <f t="shared" si="2"/>
        <v>0</v>
      </c>
    </row>
    <row r="18" spans="1:27" ht="15.75">
      <c r="A18" s="67" t="str">
        <f>'прил.1'!A16</f>
        <v>1.3.</v>
      </c>
      <c r="B18" s="122" t="str">
        <f>'прил.1'!B16</f>
        <v>Система видеонаблюдения: г. Курск, ул. Энгельса, д. 134</v>
      </c>
      <c r="C18" s="127" t="str">
        <f>'прил.1'!C16</f>
        <v>K_L03</v>
      </c>
      <c r="D18" s="46">
        <f>X18</f>
        <v>1</v>
      </c>
      <c r="E18" s="6"/>
      <c r="F18" s="6">
        <f t="shared" si="3"/>
        <v>1</v>
      </c>
      <c r="G18" s="6">
        <f t="shared" si="1"/>
        <v>0</v>
      </c>
      <c r="H18" s="6">
        <f>J18+L18+N18+P18</f>
        <v>0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>
        <v>1</v>
      </c>
      <c r="W18" s="6"/>
      <c r="X18" s="6">
        <f>V18+R18+H18</f>
        <v>1</v>
      </c>
      <c r="Y18" s="9"/>
      <c r="Z18" s="6">
        <f t="shared" si="4"/>
        <v>1</v>
      </c>
      <c r="AA18" s="74">
        <f t="shared" si="2"/>
        <v>0</v>
      </c>
    </row>
    <row r="19" spans="1:27" ht="15.75">
      <c r="A19" s="67" t="str">
        <f>'прил.1'!A17</f>
        <v>1.4.</v>
      </c>
      <c r="B19" s="122" t="str">
        <f>'прил.1'!B17</f>
        <v>Охранно-пожарная сигнализация в участке </v>
      </c>
      <c r="C19" s="127" t="str">
        <f>'прил.1'!C17</f>
        <v>K_L04</v>
      </c>
      <c r="D19" s="46">
        <f>X19</f>
        <v>12</v>
      </c>
      <c r="E19" s="6"/>
      <c r="F19" s="6">
        <f t="shared" si="3"/>
        <v>4</v>
      </c>
      <c r="G19" s="6">
        <f t="shared" si="1"/>
        <v>0</v>
      </c>
      <c r="H19" s="6">
        <f>J19+L19+N19+P19</f>
        <v>0</v>
      </c>
      <c r="I19" s="6"/>
      <c r="J19" s="6"/>
      <c r="K19" s="6"/>
      <c r="L19" s="6"/>
      <c r="M19" s="6"/>
      <c r="N19" s="6"/>
      <c r="O19" s="6"/>
      <c r="P19" s="6"/>
      <c r="Q19" s="6"/>
      <c r="R19" s="6">
        <v>8</v>
      </c>
      <c r="S19" s="6"/>
      <c r="T19" s="6"/>
      <c r="U19" s="6"/>
      <c r="V19" s="6">
        <v>4</v>
      </c>
      <c r="W19" s="6"/>
      <c r="X19" s="6">
        <f>V19+R19+H19</f>
        <v>12</v>
      </c>
      <c r="Y19" s="9"/>
      <c r="Z19" s="6">
        <f t="shared" si="4"/>
        <v>4</v>
      </c>
      <c r="AA19" s="74">
        <f t="shared" si="2"/>
        <v>0</v>
      </c>
    </row>
    <row r="20" spans="1:27" ht="15.75">
      <c r="A20" s="67" t="str">
        <f>'прил.1'!A18</f>
        <v>1.5.</v>
      </c>
      <c r="B20" s="122" t="str">
        <f>'прил.1'!B18</f>
        <v>Реализация мероприятий по соответствию бренд-буку</v>
      </c>
      <c r="C20" s="127" t="str">
        <f>'прил.1'!C18</f>
        <v>L_КАЭС.01</v>
      </c>
      <c r="D20" s="46">
        <f>X20</f>
        <v>56</v>
      </c>
      <c r="E20" s="6"/>
      <c r="F20" s="6">
        <f t="shared" si="3"/>
        <v>18</v>
      </c>
      <c r="G20" s="6">
        <f t="shared" si="1"/>
        <v>0</v>
      </c>
      <c r="H20" s="6">
        <f>J20+L20+N20+P20</f>
        <v>0</v>
      </c>
      <c r="I20" s="6"/>
      <c r="J20" s="6"/>
      <c r="K20" s="6"/>
      <c r="L20" s="6"/>
      <c r="M20" s="6"/>
      <c r="N20" s="6"/>
      <c r="O20" s="6"/>
      <c r="P20" s="6"/>
      <c r="Q20" s="6"/>
      <c r="R20" s="6">
        <v>38</v>
      </c>
      <c r="S20" s="6"/>
      <c r="T20" s="6"/>
      <c r="U20" s="6"/>
      <c r="V20" s="6">
        <v>18</v>
      </c>
      <c r="W20" s="6"/>
      <c r="X20" s="6">
        <f>V20+R20+H20</f>
        <v>56</v>
      </c>
      <c r="Y20" s="9"/>
      <c r="Z20" s="6">
        <f t="shared" si="4"/>
        <v>18</v>
      </c>
      <c r="AA20" s="74">
        <f t="shared" si="2"/>
        <v>0</v>
      </c>
    </row>
    <row r="21" spans="1:27" ht="15.75">
      <c r="A21" s="71" t="str">
        <f>'прил.1'!A19</f>
        <v>2.</v>
      </c>
      <c r="B21" s="130" t="s">
        <v>106</v>
      </c>
      <c r="C21" s="121"/>
      <c r="D21" s="46"/>
      <c r="E21" s="9"/>
      <c r="F21" s="9">
        <f t="shared" si="3"/>
        <v>0</v>
      </c>
      <c r="G21" s="9">
        <f t="shared" si="1"/>
        <v>0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>
        <f t="shared" si="4"/>
        <v>0</v>
      </c>
      <c r="AA21" s="74">
        <f t="shared" si="2"/>
        <v>0</v>
      </c>
    </row>
    <row r="22" spans="1:29" ht="15" customHeight="1">
      <c r="A22" s="67" t="str">
        <f>'прил.1'!A20</f>
        <v>2.1.</v>
      </c>
      <c r="B22" s="37" t="str">
        <f>'прил.1'!B20</f>
        <v>Коммутатор Cisco</v>
      </c>
      <c r="C22" s="38" t="str">
        <f>'прил.1'!C20</f>
        <v>K_L05</v>
      </c>
      <c r="D22" s="46">
        <f aca="true" t="shared" si="5" ref="D22:D28">X22</f>
        <v>123</v>
      </c>
      <c r="E22" s="6"/>
      <c r="F22" s="6">
        <f t="shared" si="3"/>
        <v>0</v>
      </c>
      <c r="G22" s="6">
        <f t="shared" si="1"/>
        <v>0</v>
      </c>
      <c r="H22" s="6">
        <f>J22+L22+N22+P22</f>
        <v>0</v>
      </c>
      <c r="I22" s="6"/>
      <c r="J22" s="6"/>
      <c r="K22" s="6"/>
      <c r="L22" s="6"/>
      <c r="M22" s="6"/>
      <c r="N22" s="6"/>
      <c r="O22" s="6"/>
      <c r="P22" s="6"/>
      <c r="Q22" s="6"/>
      <c r="R22" s="6">
        <v>123</v>
      </c>
      <c r="S22" s="6"/>
      <c r="T22" s="6"/>
      <c r="U22" s="6"/>
      <c r="V22" s="6">
        <v>0</v>
      </c>
      <c r="W22" s="6"/>
      <c r="X22" s="46">
        <f aca="true" t="shared" si="6" ref="X22:X28">V22+R22+H22</f>
        <v>123</v>
      </c>
      <c r="Y22" s="9"/>
      <c r="Z22" s="46">
        <f t="shared" si="4"/>
        <v>0</v>
      </c>
      <c r="AA22" s="74">
        <f t="shared" si="2"/>
        <v>0</v>
      </c>
      <c r="AB22" s="1">
        <f>X22-V22-R22-H22</f>
        <v>0</v>
      </c>
      <c r="AC22" s="1">
        <f>D22-X22</f>
        <v>0</v>
      </c>
    </row>
    <row r="23" spans="1:29" ht="15.75">
      <c r="A23" s="67" t="str">
        <f>'прил.1'!A21</f>
        <v>2.2.</v>
      </c>
      <c r="B23" s="37" t="str">
        <f>'прил.1'!B21</f>
        <v>Приобретение оргтехники</v>
      </c>
      <c r="C23" s="38" t="str">
        <f>'прил.1'!C21</f>
        <v>K_L06</v>
      </c>
      <c r="D23" s="46">
        <f>X23</f>
        <v>202</v>
      </c>
      <c r="E23" s="6"/>
      <c r="F23" s="6">
        <f t="shared" si="3"/>
        <v>202</v>
      </c>
      <c r="G23" s="6">
        <f t="shared" si="1"/>
        <v>0</v>
      </c>
      <c r="H23" s="6">
        <f>J23+L23+N23+P23</f>
        <v>0</v>
      </c>
      <c r="I23" s="6"/>
      <c r="J23" s="6"/>
      <c r="K23" s="6"/>
      <c r="L23" s="6"/>
      <c r="M23" s="6"/>
      <c r="N23" s="6"/>
      <c r="O23" s="6"/>
      <c r="P23" s="6"/>
      <c r="Q23" s="6"/>
      <c r="R23" s="6">
        <v>0</v>
      </c>
      <c r="S23" s="6"/>
      <c r="T23" s="6"/>
      <c r="U23" s="6"/>
      <c r="V23" s="6">
        <v>202</v>
      </c>
      <c r="W23" s="6"/>
      <c r="X23" s="46">
        <f t="shared" si="6"/>
        <v>202</v>
      </c>
      <c r="Y23" s="9"/>
      <c r="Z23" s="46">
        <f t="shared" si="4"/>
        <v>202</v>
      </c>
      <c r="AA23" s="74">
        <f t="shared" si="2"/>
        <v>0</v>
      </c>
      <c r="AB23" s="1">
        <f aca="true" t="shared" si="7" ref="AB23:AB30">X23-V23-R23-H23</f>
        <v>0</v>
      </c>
      <c r="AC23" s="1">
        <f aca="true" t="shared" si="8" ref="AC23:AC30">D23-X23</f>
        <v>0</v>
      </c>
    </row>
    <row r="24" spans="1:29" ht="15.75">
      <c r="A24" s="67" t="str">
        <f>'прил.1'!A22</f>
        <v>2.3.</v>
      </c>
      <c r="B24" s="37" t="str">
        <f>'прил.1'!B22</f>
        <v>Система хранения данных (СХД) Lenovo Storage V3700 V2 SFF Control Enclosure (6535C2D)</v>
      </c>
      <c r="C24" s="38" t="str">
        <f>'прил.1'!C22</f>
        <v>K_L07</v>
      </c>
      <c r="D24" s="46">
        <f t="shared" si="5"/>
        <v>2</v>
      </c>
      <c r="E24" s="6"/>
      <c r="F24" s="6">
        <f t="shared" si="3"/>
        <v>0</v>
      </c>
      <c r="G24" s="6">
        <f t="shared" si="1"/>
        <v>0</v>
      </c>
      <c r="H24" s="6">
        <f>J24+L24+N24+P24</f>
        <v>0</v>
      </c>
      <c r="I24" s="6"/>
      <c r="J24" s="6"/>
      <c r="K24" s="6"/>
      <c r="L24" s="6"/>
      <c r="M24" s="6"/>
      <c r="N24" s="6"/>
      <c r="O24" s="6"/>
      <c r="P24" s="6"/>
      <c r="Q24" s="6"/>
      <c r="R24" s="6">
        <v>2</v>
      </c>
      <c r="S24" s="6"/>
      <c r="T24" s="6"/>
      <c r="U24" s="6"/>
      <c r="V24" s="6"/>
      <c r="W24" s="6"/>
      <c r="X24" s="46">
        <f t="shared" si="6"/>
        <v>2</v>
      </c>
      <c r="Y24" s="9"/>
      <c r="Z24" s="46">
        <f t="shared" si="4"/>
        <v>0</v>
      </c>
      <c r="AA24" s="74">
        <f t="shared" si="2"/>
        <v>0</v>
      </c>
      <c r="AB24" s="1">
        <f t="shared" si="7"/>
        <v>0</v>
      </c>
      <c r="AC24" s="1">
        <f t="shared" si="8"/>
        <v>0</v>
      </c>
    </row>
    <row r="25" spans="1:29" ht="15.75">
      <c r="A25" s="67" t="str">
        <f>'прил.1'!A23</f>
        <v>2.4.</v>
      </c>
      <c r="B25" s="37" t="str">
        <f>'прил.1'!B23</f>
        <v>ИБП APC SRC2KI Smart-UPS RC 2000VA 1600W</v>
      </c>
      <c r="C25" s="38" t="str">
        <f>'прил.1'!C23</f>
        <v>K_01</v>
      </c>
      <c r="D25" s="46">
        <f t="shared" si="5"/>
        <v>16</v>
      </c>
      <c r="E25" s="6"/>
      <c r="F25" s="6">
        <f t="shared" si="3"/>
        <v>0</v>
      </c>
      <c r="G25" s="6">
        <f t="shared" si="1"/>
        <v>0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>
        <v>16</v>
      </c>
      <c r="S25" s="6"/>
      <c r="T25" s="6"/>
      <c r="U25" s="6"/>
      <c r="V25" s="6"/>
      <c r="W25" s="6"/>
      <c r="X25" s="6">
        <f t="shared" si="6"/>
        <v>16</v>
      </c>
      <c r="Y25" s="9"/>
      <c r="Z25" s="6">
        <f t="shared" si="4"/>
        <v>0</v>
      </c>
      <c r="AA25" s="74">
        <f t="shared" si="2"/>
        <v>0</v>
      </c>
      <c r="AB25" s="1">
        <f t="shared" si="7"/>
        <v>0</v>
      </c>
      <c r="AC25" s="1">
        <f t="shared" si="8"/>
        <v>0</v>
      </c>
    </row>
    <row r="26" spans="1:29" ht="15.75">
      <c r="A26" s="67" t="str">
        <f>'прил.1'!A24</f>
        <v>2.5.</v>
      </c>
      <c r="B26" s="37" t="str">
        <f>'прил.1'!B24</f>
        <v>Ленточная библиотека HPE STOREEVER MSL2024 LTO-7 15000 SAS (P9G69A</v>
      </c>
      <c r="C26" s="38" t="str">
        <f>'прил.1'!C24</f>
        <v>K_02</v>
      </c>
      <c r="D26" s="46">
        <f t="shared" si="5"/>
        <v>1</v>
      </c>
      <c r="E26" s="6"/>
      <c r="F26" s="6">
        <f t="shared" si="3"/>
        <v>0</v>
      </c>
      <c r="G26" s="6">
        <f t="shared" si="1"/>
        <v>0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>
        <v>1</v>
      </c>
      <c r="S26" s="6"/>
      <c r="T26" s="6"/>
      <c r="U26" s="6"/>
      <c r="V26" s="6"/>
      <c r="W26" s="6"/>
      <c r="X26" s="6">
        <f t="shared" si="6"/>
        <v>1</v>
      </c>
      <c r="Y26" s="9"/>
      <c r="Z26" s="6">
        <f t="shared" si="4"/>
        <v>0</v>
      </c>
      <c r="AA26" s="74">
        <f t="shared" si="2"/>
        <v>0</v>
      </c>
      <c r="AB26" s="1">
        <f t="shared" si="7"/>
        <v>0</v>
      </c>
      <c r="AC26" s="1">
        <f t="shared" si="8"/>
        <v>0</v>
      </c>
    </row>
    <row r="27" spans="1:29" ht="31.5">
      <c r="A27" s="145" t="str">
        <f>'прил.1'!A25</f>
        <v>2.6.</v>
      </c>
      <c r="B27" s="149" t="str">
        <f>'прил.1'!B25</f>
        <v>Система хранения данных (СХД) HPE MSA 1050 8Gb Fibre Channel Dual Controller SFF Storage (Q2R19A)</v>
      </c>
      <c r="C27" s="150" t="str">
        <f>'прил.1'!C25</f>
        <v>K_03</v>
      </c>
      <c r="D27" s="170">
        <f t="shared" si="5"/>
        <v>108</v>
      </c>
      <c r="E27" s="6"/>
      <c r="F27" s="6">
        <f t="shared" si="3"/>
        <v>0</v>
      </c>
      <c r="G27" s="6">
        <f t="shared" si="1"/>
        <v>0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>
        <v>108</v>
      </c>
      <c r="S27" s="6"/>
      <c r="T27" s="6"/>
      <c r="U27" s="6"/>
      <c r="V27" s="6"/>
      <c r="W27" s="6"/>
      <c r="X27" s="6">
        <f t="shared" si="6"/>
        <v>108</v>
      </c>
      <c r="Y27" s="9"/>
      <c r="Z27" s="6">
        <f t="shared" si="4"/>
        <v>0</v>
      </c>
      <c r="AA27" s="74">
        <f t="shared" si="2"/>
        <v>0</v>
      </c>
      <c r="AB27" s="1">
        <f t="shared" si="7"/>
        <v>0</v>
      </c>
      <c r="AC27" s="1">
        <f t="shared" si="8"/>
        <v>0</v>
      </c>
    </row>
    <row r="28" spans="1:29" ht="15.75">
      <c r="A28" s="145" t="str">
        <f>'прил.1'!A26</f>
        <v>2.7.</v>
      </c>
      <c r="B28" s="149" t="str">
        <f>'прил.1'!B26</f>
        <v>Моноблок 23.8" HP 24-df1008ur (2Y0P0EA)</v>
      </c>
      <c r="C28" s="150" t="str">
        <f>'прил.1'!C18</f>
        <v>L_КАЭС.01</v>
      </c>
      <c r="D28" s="170">
        <f t="shared" si="5"/>
        <v>220</v>
      </c>
      <c r="E28" s="6"/>
      <c r="F28" s="6">
        <f t="shared" si="3"/>
        <v>110</v>
      </c>
      <c r="G28" s="6">
        <f t="shared" si="1"/>
        <v>0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>
        <v>110</v>
      </c>
      <c r="S28" s="6"/>
      <c r="T28" s="6"/>
      <c r="U28" s="6"/>
      <c r="V28" s="6">
        <v>110</v>
      </c>
      <c r="W28" s="6"/>
      <c r="X28" s="6">
        <f t="shared" si="6"/>
        <v>220</v>
      </c>
      <c r="Y28" s="9"/>
      <c r="Z28" s="6">
        <f t="shared" si="4"/>
        <v>110</v>
      </c>
      <c r="AA28" s="74">
        <f t="shared" si="2"/>
        <v>0</v>
      </c>
      <c r="AB28" s="1">
        <f t="shared" si="7"/>
        <v>0</v>
      </c>
      <c r="AC28" s="1">
        <f t="shared" si="8"/>
        <v>0</v>
      </c>
    </row>
    <row r="29" spans="1:29" ht="15.75">
      <c r="A29" s="66" t="str">
        <f>'прил.1'!A27</f>
        <v>3.</v>
      </c>
      <c r="B29" s="42" t="str">
        <f>'прил.1'!B27</f>
        <v>Оснащение интеллектуальной системой учета</v>
      </c>
      <c r="C29" s="135"/>
      <c r="D29" s="46"/>
      <c r="E29" s="6"/>
      <c r="F29" s="6">
        <f t="shared" si="3"/>
        <v>0</v>
      </c>
      <c r="G29" s="6">
        <f t="shared" si="1"/>
        <v>0</v>
      </c>
      <c r="H29" s="4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9"/>
      <c r="Z29" s="6">
        <f t="shared" si="4"/>
        <v>0</v>
      </c>
      <c r="AA29" s="74">
        <f t="shared" si="2"/>
        <v>0</v>
      </c>
      <c r="AB29" s="1">
        <f t="shared" si="7"/>
        <v>0</v>
      </c>
      <c r="AC29" s="1">
        <f t="shared" si="8"/>
        <v>0</v>
      </c>
    </row>
    <row r="30" spans="1:29" ht="15.75">
      <c r="A30" s="67" t="str">
        <f>'прил.1'!A28</f>
        <v>3.1.</v>
      </c>
      <c r="B30" s="37" t="str">
        <f>'прил.1'!B28</f>
        <v>Оборудование многоквартирных жилых домов интеллектуальной системой учета </v>
      </c>
      <c r="C30" s="38" t="str">
        <f>'прил.1'!C28</f>
        <v>K_L15</v>
      </c>
      <c r="D30" s="46">
        <f>X30</f>
        <v>166512</v>
      </c>
      <c r="E30" s="46">
        <f>Y30</f>
        <v>51998</v>
      </c>
      <c r="F30" s="46">
        <f t="shared" si="3"/>
        <v>134958</v>
      </c>
      <c r="G30" s="46">
        <f t="shared" si="1"/>
        <v>25997</v>
      </c>
      <c r="H30" s="46">
        <f>J30+L30+N30+P30</f>
        <v>55210</v>
      </c>
      <c r="I30" s="6">
        <f>K30+M30+O30+Q30</f>
        <v>1</v>
      </c>
      <c r="J30" s="46"/>
      <c r="K30" s="46"/>
      <c r="L30" s="46"/>
      <c r="M30" s="46"/>
      <c r="N30" s="46"/>
      <c r="O30" s="46"/>
      <c r="P30" s="46">
        <v>55210</v>
      </c>
      <c r="Q30" s="46">
        <v>1</v>
      </c>
      <c r="R30" s="46">
        <v>55600</v>
      </c>
      <c r="S30" s="46">
        <v>26001</v>
      </c>
      <c r="T30" s="46">
        <v>24046</v>
      </c>
      <c r="U30" s="46"/>
      <c r="V30" s="46">
        <v>55702</v>
      </c>
      <c r="W30" s="46">
        <v>25996</v>
      </c>
      <c r="X30" s="46">
        <f>V30+R30+H30</f>
        <v>166512</v>
      </c>
      <c r="Y30" s="46">
        <f>W30+S30+I30</f>
        <v>51998</v>
      </c>
      <c r="Z30" s="46">
        <f t="shared" si="4"/>
        <v>134958</v>
      </c>
      <c r="AA30" s="248">
        <f t="shared" si="2"/>
        <v>25997</v>
      </c>
      <c r="AB30" s="1">
        <f t="shared" si="7"/>
        <v>0</v>
      </c>
      <c r="AC30" s="1">
        <f t="shared" si="8"/>
        <v>0</v>
      </c>
    </row>
    <row r="31" spans="1:27" ht="15.75">
      <c r="A31" s="71" t="str">
        <f>'прил.1'!A29</f>
        <v>4.</v>
      </c>
      <c r="B31" s="42" t="s">
        <v>87</v>
      </c>
      <c r="C31" s="38"/>
      <c r="D31" s="46"/>
      <c r="E31" s="46"/>
      <c r="F31" s="46">
        <f t="shared" si="3"/>
        <v>0</v>
      </c>
      <c r="G31" s="46">
        <f t="shared" si="1"/>
        <v>0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200"/>
      <c r="Z31" s="46">
        <f t="shared" si="4"/>
        <v>0</v>
      </c>
      <c r="AA31" s="74">
        <f t="shared" si="2"/>
        <v>0</v>
      </c>
    </row>
    <row r="32" spans="1:27" ht="16.5" thickBot="1">
      <c r="A32" s="212" t="str">
        <f>'прил.1'!A30</f>
        <v>4.1.</v>
      </c>
      <c r="B32" s="213" t="str">
        <f>'прил.1'!B30</f>
        <v>Модернизация ЕКЦ (Робот-оператор)</v>
      </c>
      <c r="C32" s="151" t="str">
        <f>'прил.1'!C30</f>
        <v>L_КАЭС.03</v>
      </c>
      <c r="D32" s="214">
        <f>X32</f>
        <v>1</v>
      </c>
      <c r="E32" s="215"/>
      <c r="F32" s="215">
        <f t="shared" si="3"/>
        <v>0</v>
      </c>
      <c r="G32" s="215">
        <f t="shared" si="1"/>
        <v>0</v>
      </c>
      <c r="H32" s="215">
        <f>J32+L32+N32+P32</f>
        <v>0</v>
      </c>
      <c r="I32" s="215"/>
      <c r="J32" s="215"/>
      <c r="K32" s="215"/>
      <c r="L32" s="215"/>
      <c r="M32" s="215"/>
      <c r="N32" s="215"/>
      <c r="O32" s="215"/>
      <c r="P32" s="215"/>
      <c r="Q32" s="215"/>
      <c r="R32" s="215">
        <v>1</v>
      </c>
      <c r="S32" s="215"/>
      <c r="T32" s="215"/>
      <c r="U32" s="215"/>
      <c r="V32" s="215"/>
      <c r="W32" s="215"/>
      <c r="X32" s="215">
        <f>V32+R32+H32</f>
        <v>1</v>
      </c>
      <c r="Y32" s="216"/>
      <c r="Z32" s="215">
        <f t="shared" si="4"/>
        <v>0</v>
      </c>
      <c r="AA32" s="249">
        <f t="shared" si="2"/>
        <v>0</v>
      </c>
    </row>
    <row r="33" ht="16.5" customHeight="1"/>
    <row r="34" spans="1:35" ht="20.25">
      <c r="A34" s="255"/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</row>
  </sheetData>
  <sheetProtection/>
  <mergeCells count="31">
    <mergeCell ref="A4:W4"/>
    <mergeCell ref="A5:W5"/>
    <mergeCell ref="A7:W7"/>
    <mergeCell ref="A8:W8"/>
    <mergeCell ref="A9:W9"/>
    <mergeCell ref="H12:I12"/>
    <mergeCell ref="H10:AA10"/>
    <mergeCell ref="Z12:AA12"/>
    <mergeCell ref="X11:AA11"/>
    <mergeCell ref="D10:G11"/>
    <mergeCell ref="F12:G12"/>
    <mergeCell ref="J12:K12"/>
    <mergeCell ref="V12:W12"/>
    <mergeCell ref="P11:Q11"/>
    <mergeCell ref="V11:W11"/>
    <mergeCell ref="A10:A13"/>
    <mergeCell ref="B10:B13"/>
    <mergeCell ref="C10:C13"/>
    <mergeCell ref="H11:I11"/>
    <mergeCell ref="R12:S12"/>
    <mergeCell ref="D12:E12"/>
    <mergeCell ref="X12:Y12"/>
    <mergeCell ref="R11:U11"/>
    <mergeCell ref="T12:U12"/>
    <mergeCell ref="A34:AI34"/>
    <mergeCell ref="P12:Q12"/>
    <mergeCell ref="N11:O11"/>
    <mergeCell ref="N12:O12"/>
    <mergeCell ref="L11:M11"/>
    <mergeCell ref="L12:M12"/>
    <mergeCell ref="J11:K1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R15:R20 H15:H20 P15:P20 N15:N20 L15:L20 J15:J20 P30:Q30 V15:V20 P31:P32 R22:R27 R29:R32 I30 N22:N32 V22:V32 L22:L32 J22:J32 H22:H32 P22:P29">
      <formula1>900</formula1>
    </dataValidation>
  </dataValidations>
  <printOptions/>
  <pageMargins left="0.7086614173228347" right="0" top="0.7480314960629921" bottom="0.7480314960629921" header="0.31496062992125984" footer="0.31496062992125984"/>
  <pageSetup fitToHeight="1" fitToWidth="1" horizontalDpi="600" verticalDpi="6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90"/>
  <sheetViews>
    <sheetView view="pageBreakPreview" zoomScale="55" zoomScaleNormal="62" zoomScaleSheetLayoutView="55" zoomScalePageLayoutView="0" workbookViewId="0" topLeftCell="A1">
      <selection activeCell="F10" sqref="F10:Y10"/>
    </sheetView>
  </sheetViews>
  <sheetFormatPr defaultColWidth="9.00390625" defaultRowHeight="12.75" outlineLevelCol="1"/>
  <cols>
    <col min="1" max="1" width="13.25390625" style="1" customWidth="1"/>
    <col min="2" max="2" width="102.00390625" style="1" customWidth="1"/>
    <col min="3" max="3" width="15.875" style="1" customWidth="1"/>
    <col min="4" max="5" width="20.125" style="1" customWidth="1"/>
    <col min="6" max="7" width="17.25390625" style="1" customWidth="1"/>
    <col min="8" max="8" width="17.25390625" style="1" customWidth="1" outlineLevel="1"/>
    <col min="9" max="9" width="13.00390625" style="1" customWidth="1" outlineLevel="1"/>
    <col min="10" max="10" width="17.25390625" style="1" customWidth="1" outlineLevel="1"/>
    <col min="11" max="11" width="13.00390625" style="1" customWidth="1" outlineLevel="1"/>
    <col min="12" max="12" width="17.25390625" style="1" customWidth="1" outlineLevel="1"/>
    <col min="13" max="13" width="12.625" style="1" customWidth="1" outlineLevel="1"/>
    <col min="14" max="14" width="17.25390625" style="1" customWidth="1" outlineLevel="1"/>
    <col min="15" max="15" width="12.625" style="1" customWidth="1" outlineLevel="1"/>
    <col min="16" max="25" width="17.25390625" style="1" customWidth="1"/>
    <col min="26" max="26" width="7.25390625" style="1" hidden="1" customWidth="1"/>
    <col min="27" max="27" width="4.25390625" style="1" hidden="1" customWidth="1"/>
    <col min="28" max="28" width="4.375" style="1" customWidth="1"/>
    <col min="29" max="29" width="5.125" style="1" customWidth="1"/>
    <col min="30" max="30" width="5.75390625" style="1" customWidth="1"/>
    <col min="31" max="31" width="6.25390625" style="1" customWidth="1"/>
    <col min="32" max="32" width="6.625" style="1" customWidth="1"/>
    <col min="33" max="33" width="6.25390625" style="1" customWidth="1"/>
    <col min="34" max="35" width="5.75390625" style="1" customWidth="1"/>
    <col min="36" max="36" width="14.75390625" style="1" customWidth="1"/>
    <col min="37" max="46" width="5.75390625" style="1" customWidth="1"/>
    <col min="47" max="16384" width="9.125" style="1" customWidth="1"/>
  </cols>
  <sheetData>
    <row r="1" spans="23:25" ht="15.75">
      <c r="W1" s="47" t="s">
        <v>86</v>
      </c>
      <c r="X1" s="47"/>
      <c r="Y1" s="47"/>
    </row>
    <row r="2" spans="20:25" ht="18.75">
      <c r="T2" s="32"/>
      <c r="U2" s="32"/>
      <c r="V2" s="32"/>
      <c r="W2" s="3"/>
      <c r="X2" s="3"/>
      <c r="Y2" s="3"/>
    </row>
    <row r="4" spans="1:21" ht="15.75">
      <c r="A4" s="306" t="s">
        <v>22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109"/>
      <c r="S4" s="109"/>
      <c r="T4" s="109"/>
      <c r="U4" s="109"/>
    </row>
    <row r="5" spans="1:25" ht="15.75">
      <c r="A5" s="307" t="s">
        <v>145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20"/>
      <c r="S5" s="20"/>
      <c r="T5" s="20"/>
      <c r="U5" s="20"/>
      <c r="V5" s="20"/>
      <c r="W5" s="20"/>
      <c r="X5" s="20"/>
      <c r="Y5" s="20"/>
    </row>
    <row r="6" spans="1:25" ht="15.7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39" ht="18.75">
      <c r="A7" s="278" t="str">
        <f>'прил.1'!A6</f>
        <v>  "АтомЭнергоСбыт" Курск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100"/>
      <c r="S7" s="100"/>
      <c r="T7" s="100"/>
      <c r="U7" s="100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</row>
    <row r="8" spans="1:38" ht="15.75">
      <c r="A8" s="271" t="s">
        <v>2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101"/>
      <c r="S8" s="101"/>
      <c r="T8" s="101"/>
      <c r="U8" s="101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</row>
    <row r="9" spans="1:36" ht="15.75" customHeight="1" thickBot="1">
      <c r="A9" s="309"/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187"/>
      <c r="Y9" s="187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36" ht="31.5" customHeight="1">
      <c r="A10" s="310" t="s">
        <v>3</v>
      </c>
      <c r="B10" s="316" t="s">
        <v>69</v>
      </c>
      <c r="C10" s="316" t="s">
        <v>70</v>
      </c>
      <c r="D10" s="325" t="s">
        <v>125</v>
      </c>
      <c r="E10" s="326"/>
      <c r="F10" s="319" t="s">
        <v>124</v>
      </c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1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</row>
    <row r="11" spans="1:25" ht="44.25" customHeight="1">
      <c r="A11" s="311"/>
      <c r="B11" s="317"/>
      <c r="C11" s="317"/>
      <c r="D11" s="327"/>
      <c r="E11" s="328"/>
      <c r="F11" s="284" t="s">
        <v>67</v>
      </c>
      <c r="G11" s="284"/>
      <c r="H11" s="284" t="s">
        <v>153</v>
      </c>
      <c r="I11" s="284"/>
      <c r="J11" s="284" t="s">
        <v>154</v>
      </c>
      <c r="K11" s="284"/>
      <c r="L11" s="284" t="s">
        <v>155</v>
      </c>
      <c r="M11" s="284"/>
      <c r="N11" s="284" t="s">
        <v>156</v>
      </c>
      <c r="O11" s="284"/>
      <c r="P11" s="285" t="s">
        <v>114</v>
      </c>
      <c r="Q11" s="286"/>
      <c r="R11" s="286"/>
      <c r="S11" s="287"/>
      <c r="T11" s="284" t="s">
        <v>148</v>
      </c>
      <c r="U11" s="284"/>
      <c r="V11" s="322" t="s">
        <v>72</v>
      </c>
      <c r="W11" s="323"/>
      <c r="X11" s="323"/>
      <c r="Y11" s="324"/>
    </row>
    <row r="12" spans="1:25" ht="69.75" customHeight="1">
      <c r="A12" s="311"/>
      <c r="B12" s="317"/>
      <c r="C12" s="317"/>
      <c r="D12" s="329"/>
      <c r="E12" s="330"/>
      <c r="F12" s="284" t="s">
        <v>11</v>
      </c>
      <c r="G12" s="284"/>
      <c r="H12" s="284" t="s">
        <v>11</v>
      </c>
      <c r="I12" s="284"/>
      <c r="J12" s="284" t="s">
        <v>11</v>
      </c>
      <c r="K12" s="284"/>
      <c r="L12" s="284" t="s">
        <v>11</v>
      </c>
      <c r="M12" s="284"/>
      <c r="N12" s="284" t="s">
        <v>11</v>
      </c>
      <c r="O12" s="284"/>
      <c r="P12" s="284" t="s">
        <v>11</v>
      </c>
      <c r="Q12" s="284"/>
      <c r="R12" s="290" t="s">
        <v>190</v>
      </c>
      <c r="S12" s="290"/>
      <c r="T12" s="284" t="s">
        <v>11</v>
      </c>
      <c r="U12" s="284"/>
      <c r="V12" s="284" t="s">
        <v>11</v>
      </c>
      <c r="W12" s="285"/>
      <c r="X12" s="290" t="s">
        <v>190</v>
      </c>
      <c r="Y12" s="318"/>
    </row>
    <row r="13" spans="1:25" ht="37.5" customHeight="1">
      <c r="A13" s="311"/>
      <c r="B13" s="317"/>
      <c r="C13" s="317"/>
      <c r="D13" s="290" t="s">
        <v>13</v>
      </c>
      <c r="E13" s="313" t="s">
        <v>190</v>
      </c>
      <c r="F13" s="113" t="s">
        <v>75</v>
      </c>
      <c r="G13" s="113" t="s">
        <v>122</v>
      </c>
      <c r="H13" s="113" t="s">
        <v>75</v>
      </c>
      <c r="I13" s="113" t="s">
        <v>122</v>
      </c>
      <c r="J13" s="113" t="s">
        <v>75</v>
      </c>
      <c r="K13" s="113" t="s">
        <v>122</v>
      </c>
      <c r="L13" s="113" t="s">
        <v>75</v>
      </c>
      <c r="M13" s="113" t="s">
        <v>122</v>
      </c>
      <c r="N13" s="113" t="s">
        <v>75</v>
      </c>
      <c r="O13" s="113" t="s">
        <v>122</v>
      </c>
      <c r="P13" s="113" t="s">
        <v>75</v>
      </c>
      <c r="Q13" s="113" t="s">
        <v>123</v>
      </c>
      <c r="R13" s="113" t="s">
        <v>75</v>
      </c>
      <c r="S13" s="113" t="s">
        <v>123</v>
      </c>
      <c r="T13" s="113" t="s">
        <v>75</v>
      </c>
      <c r="U13" s="113" t="s">
        <v>123</v>
      </c>
      <c r="V13" s="113" t="s">
        <v>75</v>
      </c>
      <c r="W13" s="217" t="s">
        <v>122</v>
      </c>
      <c r="X13" s="113" t="s">
        <v>75</v>
      </c>
      <c r="Y13" s="116" t="s">
        <v>122</v>
      </c>
    </row>
    <row r="14" spans="1:25" ht="66" customHeight="1">
      <c r="A14" s="312"/>
      <c r="B14" s="314"/>
      <c r="C14" s="314"/>
      <c r="D14" s="290"/>
      <c r="E14" s="314"/>
      <c r="F14" s="7" t="s">
        <v>76</v>
      </c>
      <c r="G14" s="7" t="s">
        <v>76</v>
      </c>
      <c r="H14" s="7" t="s">
        <v>76</v>
      </c>
      <c r="I14" s="7" t="s">
        <v>76</v>
      </c>
      <c r="J14" s="7" t="s">
        <v>76</v>
      </c>
      <c r="K14" s="7" t="s">
        <v>76</v>
      </c>
      <c r="L14" s="7" t="s">
        <v>76</v>
      </c>
      <c r="M14" s="7" t="s">
        <v>76</v>
      </c>
      <c r="N14" s="7" t="s">
        <v>76</v>
      </c>
      <c r="O14" s="7" t="s">
        <v>76</v>
      </c>
      <c r="P14" s="7" t="s">
        <v>76</v>
      </c>
      <c r="Q14" s="7" t="s">
        <v>76</v>
      </c>
      <c r="R14" s="7" t="s">
        <v>76</v>
      </c>
      <c r="S14" s="7" t="s">
        <v>76</v>
      </c>
      <c r="T14" s="7" t="s">
        <v>76</v>
      </c>
      <c r="U14" s="7" t="s">
        <v>76</v>
      </c>
      <c r="V14" s="7" t="s">
        <v>76</v>
      </c>
      <c r="W14" s="211" t="s">
        <v>76</v>
      </c>
      <c r="X14" s="7" t="s">
        <v>76</v>
      </c>
      <c r="Y14" s="73" t="s">
        <v>76</v>
      </c>
    </row>
    <row r="15" spans="1:27" ht="15.75">
      <c r="A15" s="117">
        <v>1</v>
      </c>
      <c r="B15" s="114">
        <f>A15+1</f>
        <v>2</v>
      </c>
      <c r="C15" s="114">
        <f aca="true" t="shared" si="0" ref="C15:Y15">B15+1</f>
        <v>3</v>
      </c>
      <c r="D15" s="114">
        <f t="shared" si="0"/>
        <v>4</v>
      </c>
      <c r="E15" s="114">
        <f t="shared" si="0"/>
        <v>5</v>
      </c>
      <c r="F15" s="114">
        <f t="shared" si="0"/>
        <v>6</v>
      </c>
      <c r="G15" s="114">
        <f t="shared" si="0"/>
        <v>7</v>
      </c>
      <c r="H15" s="114">
        <f t="shared" si="0"/>
        <v>8</v>
      </c>
      <c r="I15" s="114">
        <f t="shared" si="0"/>
        <v>9</v>
      </c>
      <c r="J15" s="114">
        <f t="shared" si="0"/>
        <v>10</v>
      </c>
      <c r="K15" s="114">
        <f t="shared" si="0"/>
        <v>11</v>
      </c>
      <c r="L15" s="114">
        <f t="shared" si="0"/>
        <v>12</v>
      </c>
      <c r="M15" s="114">
        <f t="shared" si="0"/>
        <v>13</v>
      </c>
      <c r="N15" s="114">
        <f t="shared" si="0"/>
        <v>14</v>
      </c>
      <c r="O15" s="114">
        <f t="shared" si="0"/>
        <v>15</v>
      </c>
      <c r="P15" s="114">
        <f t="shared" si="0"/>
        <v>16</v>
      </c>
      <c r="Q15" s="114">
        <f t="shared" si="0"/>
        <v>17</v>
      </c>
      <c r="R15" s="114">
        <f t="shared" si="0"/>
        <v>18</v>
      </c>
      <c r="S15" s="114">
        <f t="shared" si="0"/>
        <v>19</v>
      </c>
      <c r="T15" s="114">
        <f t="shared" si="0"/>
        <v>20</v>
      </c>
      <c r="U15" s="114">
        <f t="shared" si="0"/>
        <v>21</v>
      </c>
      <c r="V15" s="114">
        <f t="shared" si="0"/>
        <v>22</v>
      </c>
      <c r="W15" s="114">
        <f t="shared" si="0"/>
        <v>23</v>
      </c>
      <c r="X15" s="114">
        <f t="shared" si="0"/>
        <v>24</v>
      </c>
      <c r="Y15" s="114">
        <f t="shared" si="0"/>
        <v>25</v>
      </c>
      <c r="Z15" s="118">
        <v>21</v>
      </c>
      <c r="AA15" s="114">
        <v>22</v>
      </c>
    </row>
    <row r="16" spans="1:27" ht="15.75">
      <c r="A16" s="71" t="str">
        <f>'прил.1'!A13</f>
        <v>1.</v>
      </c>
      <c r="B16" s="42" t="str">
        <f>'прил.1'!B13</f>
        <v>Приобретение имущества общего и специального назначения </v>
      </c>
      <c r="C16" s="35"/>
      <c r="D16" s="138"/>
      <c r="E16" s="138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5"/>
      <c r="R16" s="41"/>
      <c r="S16" s="45"/>
      <c r="T16" s="41"/>
      <c r="U16" s="45"/>
      <c r="V16" s="41"/>
      <c r="W16" s="218"/>
      <c r="X16" s="41"/>
      <c r="Y16" s="131"/>
      <c r="Z16" s="62">
        <f>W16-U16-Q16-G16</f>
        <v>0</v>
      </c>
      <c r="AA16" s="62">
        <f>W16+V16-D16</f>
        <v>0</v>
      </c>
    </row>
    <row r="17" spans="1:27" ht="15.75">
      <c r="A17" s="67" t="str">
        <f>'прил.1'!A14</f>
        <v>1.1.</v>
      </c>
      <c r="B17" s="37" t="str">
        <f>'прил.1'!B14</f>
        <v>Установка шлагбаумов: г.Курск, ул. Энгельса, д.134 </v>
      </c>
      <c r="C17" s="38" t="str">
        <f>'прил.1'!C14</f>
        <v>K_L01</v>
      </c>
      <c r="D17" s="165">
        <f>'прил.2'!I14</f>
        <v>0.20280000000000004</v>
      </c>
      <c r="E17" s="165">
        <f>'прил.2'!L14</f>
        <v>0</v>
      </c>
      <c r="F17" s="165"/>
      <c r="G17" s="165">
        <f>'прил.2'!S14</f>
        <v>0</v>
      </c>
      <c r="H17" s="165"/>
      <c r="I17" s="165"/>
      <c r="J17" s="165"/>
      <c r="K17" s="165"/>
      <c r="L17" s="165"/>
      <c r="M17" s="165"/>
      <c r="N17" s="165"/>
      <c r="O17" s="165"/>
      <c r="P17" s="165"/>
      <c r="Q17" s="165">
        <f>'прил.2'!T14</f>
        <v>0.2028</v>
      </c>
      <c r="R17" s="165"/>
      <c r="S17" s="165">
        <f>'прил.2'!U14</f>
        <v>0</v>
      </c>
      <c r="T17" s="165"/>
      <c r="U17" s="165">
        <f>'прил.2'!V14</f>
        <v>0</v>
      </c>
      <c r="V17" s="165">
        <f aca="true" t="shared" si="1" ref="V17:W21">T17+P17+F17</f>
        <v>0</v>
      </c>
      <c r="W17" s="207">
        <f t="shared" si="1"/>
        <v>0.2028</v>
      </c>
      <c r="X17" s="165">
        <f>F17+R17+T17</f>
        <v>0</v>
      </c>
      <c r="Y17" s="246">
        <f aca="true" t="shared" si="2" ref="Y17:Y33">G17+S17+U17</f>
        <v>0</v>
      </c>
      <c r="Z17" s="62">
        <f>W17-U17-Q17-G17</f>
        <v>0</v>
      </c>
      <c r="AA17" s="62">
        <f>W17+V17-D17</f>
        <v>0</v>
      </c>
    </row>
    <row r="18" spans="1:27" ht="15.75">
      <c r="A18" s="67" t="str">
        <f>'прил.1'!A15</f>
        <v>1.2.</v>
      </c>
      <c r="B18" s="122" t="str">
        <f>'прил.1'!B15</f>
        <v>Модернизация системы контроля и управления доступом: г. Курск, ул. Энгельса, д. 134</v>
      </c>
      <c r="C18" s="127" t="str">
        <f>'прил.1'!C15</f>
        <v>K_L02</v>
      </c>
      <c r="D18" s="165">
        <f>'прил.2'!I15</f>
        <v>0.24960000000000002</v>
      </c>
      <c r="E18" s="165">
        <f>'прил.2'!L15</f>
        <v>0</v>
      </c>
      <c r="F18" s="165"/>
      <c r="G18" s="165">
        <f>'прил.2'!S15</f>
        <v>0</v>
      </c>
      <c r="H18" s="165"/>
      <c r="I18" s="165"/>
      <c r="J18" s="165"/>
      <c r="K18" s="165"/>
      <c r="L18" s="165"/>
      <c r="M18" s="165"/>
      <c r="N18" s="165"/>
      <c r="O18" s="165"/>
      <c r="P18" s="165"/>
      <c r="Q18" s="165">
        <f>'прил.2'!T15</f>
        <v>0.2496</v>
      </c>
      <c r="R18" s="165"/>
      <c r="S18" s="165">
        <f>'прил.2'!U15</f>
        <v>0</v>
      </c>
      <c r="T18" s="165"/>
      <c r="U18" s="165">
        <f>'прил.2'!V15</f>
        <v>0</v>
      </c>
      <c r="V18" s="165">
        <f t="shared" si="1"/>
        <v>0</v>
      </c>
      <c r="W18" s="207">
        <f t="shared" si="1"/>
        <v>0.2496</v>
      </c>
      <c r="X18" s="165">
        <f aca="true" t="shared" si="3" ref="X18:X33">F18+R18+T18</f>
        <v>0</v>
      </c>
      <c r="Y18" s="246">
        <f t="shared" si="2"/>
        <v>0</v>
      </c>
      <c r="Z18" s="62"/>
      <c r="AA18" s="62"/>
    </row>
    <row r="19" spans="1:27" ht="15.75">
      <c r="A19" s="67" t="str">
        <f>'прил.1'!A16</f>
        <v>1.3.</v>
      </c>
      <c r="B19" s="122" t="str">
        <f>'прил.1'!B16</f>
        <v>Система видеонаблюдения: г. Курск, ул. Энгельса, д. 134</v>
      </c>
      <c r="C19" s="127" t="str">
        <f>'прил.1'!C16</f>
        <v>K_L03</v>
      </c>
      <c r="D19" s="165">
        <f>'прил.2'!I16</f>
        <v>1.070784</v>
      </c>
      <c r="E19" s="165">
        <f>'прил.2'!L16</f>
        <v>1.070784</v>
      </c>
      <c r="F19" s="165"/>
      <c r="G19" s="165">
        <f>'прил.2'!S16</f>
        <v>0</v>
      </c>
      <c r="H19" s="165"/>
      <c r="I19" s="165"/>
      <c r="J19" s="165"/>
      <c r="K19" s="165"/>
      <c r="L19" s="165"/>
      <c r="M19" s="165"/>
      <c r="N19" s="165"/>
      <c r="O19" s="165"/>
      <c r="P19" s="165"/>
      <c r="Q19" s="165">
        <f>'прил.2'!T16</f>
        <v>0</v>
      </c>
      <c r="R19" s="165"/>
      <c r="S19" s="165">
        <f>'прил.2'!U16</f>
        <v>0</v>
      </c>
      <c r="T19" s="165"/>
      <c r="U19" s="165">
        <f>'прил.2'!V16</f>
        <v>1.070784</v>
      </c>
      <c r="V19" s="165">
        <f t="shared" si="1"/>
        <v>0</v>
      </c>
      <c r="W19" s="207">
        <f t="shared" si="1"/>
        <v>1.070784</v>
      </c>
      <c r="X19" s="165">
        <f t="shared" si="3"/>
        <v>0</v>
      </c>
      <c r="Y19" s="246">
        <f t="shared" si="2"/>
        <v>1.070784</v>
      </c>
      <c r="Z19" s="62"/>
      <c r="AA19" s="62"/>
    </row>
    <row r="20" spans="1:27" ht="15.75">
      <c r="A20" s="67" t="str">
        <f>'прил.1'!A17</f>
        <v>1.4.</v>
      </c>
      <c r="B20" s="122" t="str">
        <f>'прил.1'!B17</f>
        <v>Охранно-пожарная сигнализация в участке </v>
      </c>
      <c r="C20" s="127" t="str">
        <f>'прил.1'!C17</f>
        <v>K_L04</v>
      </c>
      <c r="D20" s="165">
        <f>'прил.2'!I17</f>
        <v>2.2979840000000005</v>
      </c>
      <c r="E20" s="165">
        <f>'прил.2'!L17</f>
        <v>0.800384</v>
      </c>
      <c r="F20" s="165"/>
      <c r="G20" s="165">
        <f>'прил.2'!S17</f>
        <v>0</v>
      </c>
      <c r="H20" s="165"/>
      <c r="I20" s="165"/>
      <c r="J20" s="165"/>
      <c r="K20" s="165"/>
      <c r="L20" s="165"/>
      <c r="M20" s="165"/>
      <c r="N20" s="165"/>
      <c r="O20" s="165"/>
      <c r="P20" s="165"/>
      <c r="Q20" s="165">
        <f>'прил.2'!T17</f>
        <v>1.4976</v>
      </c>
      <c r="R20" s="165"/>
      <c r="S20" s="165">
        <f>'прил.2'!U17</f>
        <v>0</v>
      </c>
      <c r="T20" s="165"/>
      <c r="U20" s="165">
        <f>'прил.2'!V17</f>
        <v>0.800384</v>
      </c>
      <c r="V20" s="165">
        <f t="shared" si="1"/>
        <v>0</v>
      </c>
      <c r="W20" s="207">
        <f t="shared" si="1"/>
        <v>2.297984</v>
      </c>
      <c r="X20" s="165">
        <f t="shared" si="3"/>
        <v>0</v>
      </c>
      <c r="Y20" s="246">
        <f t="shared" si="2"/>
        <v>0.800384</v>
      </c>
      <c r="Z20" s="62"/>
      <c r="AA20" s="62"/>
    </row>
    <row r="21" spans="1:27" ht="15.75">
      <c r="A21" s="67" t="str">
        <f>'прил.1'!A18</f>
        <v>1.5.</v>
      </c>
      <c r="B21" s="122" t="str">
        <f>'прил.1'!B18</f>
        <v>Реализация мероприятий по соответствию бренд-буку</v>
      </c>
      <c r="C21" s="127" t="str">
        <f>'прил.1'!C18</f>
        <v>L_КАЭС.01</v>
      </c>
      <c r="D21" s="165">
        <f>'прил.2'!I18</f>
        <v>2.9949950000000003</v>
      </c>
      <c r="E21" s="165">
        <f>'прил.2'!L18</f>
        <v>0.8946000000000001</v>
      </c>
      <c r="F21" s="165"/>
      <c r="G21" s="165">
        <f>'прил.2'!S18</f>
        <v>0</v>
      </c>
      <c r="H21" s="165"/>
      <c r="I21" s="165"/>
      <c r="J21" s="165"/>
      <c r="K21" s="165"/>
      <c r="L21" s="165"/>
      <c r="M21" s="165"/>
      <c r="N21" s="165"/>
      <c r="O21" s="165"/>
      <c r="P21" s="165"/>
      <c r="Q21" s="165">
        <f>'прил.2'!T18</f>
        <v>2.100395</v>
      </c>
      <c r="R21" s="165"/>
      <c r="S21" s="165">
        <f>'прил.2'!U18</f>
        <v>0</v>
      </c>
      <c r="T21" s="165"/>
      <c r="U21" s="165">
        <f>'прил.2'!V18</f>
        <v>0.8946000000000001</v>
      </c>
      <c r="V21" s="165">
        <f t="shared" si="1"/>
        <v>0</v>
      </c>
      <c r="W21" s="207">
        <f t="shared" si="1"/>
        <v>2.994995</v>
      </c>
      <c r="X21" s="165">
        <f t="shared" si="3"/>
        <v>0</v>
      </c>
      <c r="Y21" s="246">
        <f t="shared" si="2"/>
        <v>0.8946000000000001</v>
      </c>
      <c r="Z21" s="62"/>
      <c r="AA21" s="62"/>
    </row>
    <row r="22" spans="1:27" ht="15.75">
      <c r="A22" s="71" t="str">
        <f>'прил.1'!A19</f>
        <v>2.</v>
      </c>
      <c r="B22" s="42" t="str">
        <f>'прил.1'!B19</f>
        <v>Приобретение ИТ-имущества </v>
      </c>
      <c r="C22" s="121"/>
      <c r="D22" s="165"/>
      <c r="E22" s="165">
        <f>'прил.2'!L19</f>
        <v>0</v>
      </c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5">
        <f>'прил.2'!U19</f>
        <v>0</v>
      </c>
      <c r="T22" s="164"/>
      <c r="U22" s="164"/>
      <c r="V22" s="164"/>
      <c r="W22" s="208"/>
      <c r="X22" s="165">
        <f t="shared" si="3"/>
        <v>0</v>
      </c>
      <c r="Y22" s="246">
        <f t="shared" si="2"/>
        <v>0</v>
      </c>
      <c r="Z22" s="62"/>
      <c r="AA22" s="62"/>
    </row>
    <row r="23" spans="1:27" ht="15.75">
      <c r="A23" s="67" t="str">
        <f>'прил.2'!A20</f>
        <v>2.1.</v>
      </c>
      <c r="B23" s="37" t="str">
        <f>'прил.2'!B20</f>
        <v>Коммутатор Cisco</v>
      </c>
      <c r="C23" s="38" t="str">
        <f>'прил.2'!C20</f>
        <v>K_L05</v>
      </c>
      <c r="D23" s="165">
        <f>'прил.2'!I20</f>
        <v>5.859041625000001</v>
      </c>
      <c r="E23" s="165">
        <f>'прил.2'!L20</f>
        <v>0</v>
      </c>
      <c r="F23" s="165"/>
      <c r="G23" s="165">
        <f>'прил.2'!S20</f>
        <v>0</v>
      </c>
      <c r="H23" s="165"/>
      <c r="I23" s="165"/>
      <c r="J23" s="165"/>
      <c r="K23" s="165">
        <f>G23</f>
        <v>0</v>
      </c>
      <c r="L23" s="165"/>
      <c r="M23" s="165"/>
      <c r="N23" s="165"/>
      <c r="O23" s="165"/>
      <c r="P23" s="165"/>
      <c r="Q23" s="165">
        <f>'прил.2'!T20</f>
        <v>5.859041625</v>
      </c>
      <c r="R23" s="165"/>
      <c r="S23" s="165">
        <f>'прил.2'!U20</f>
        <v>0</v>
      </c>
      <c r="T23" s="165"/>
      <c r="U23" s="165">
        <f>'прил.2'!V20</f>
        <v>0</v>
      </c>
      <c r="V23" s="165">
        <f aca="true" t="shared" si="4" ref="V23:V28">T23+P23+F23</f>
        <v>0</v>
      </c>
      <c r="W23" s="207">
        <f aca="true" t="shared" si="5" ref="W23:W28">U23+Q23+G23</f>
        <v>5.859041625</v>
      </c>
      <c r="X23" s="165">
        <f t="shared" si="3"/>
        <v>0</v>
      </c>
      <c r="Y23" s="246">
        <f t="shared" si="2"/>
        <v>0</v>
      </c>
      <c r="Z23" s="62">
        <f aca="true" t="shared" si="6" ref="Z23:Z28">W23-U23-Q23-G23</f>
        <v>0</v>
      </c>
      <c r="AA23" s="62">
        <f aca="true" t="shared" si="7" ref="AA23:AA28">W23+V23-D23</f>
        <v>0</v>
      </c>
    </row>
    <row r="24" spans="1:27" ht="15.75">
      <c r="A24" s="67" t="str">
        <f>'прил.2'!A21</f>
        <v>2.2.</v>
      </c>
      <c r="B24" s="37" t="str">
        <f>'прил.2'!B21</f>
        <v>Приобретение оргтехники</v>
      </c>
      <c r="C24" s="38" t="str">
        <f>'прил.2'!C21</f>
        <v>K_L06</v>
      </c>
      <c r="D24" s="165">
        <f>'прил.2'!I21</f>
        <v>13.663123710312835</v>
      </c>
      <c r="E24" s="165">
        <f>'прил.2'!L21</f>
        <v>13.663123710312835</v>
      </c>
      <c r="F24" s="165"/>
      <c r="G24" s="165">
        <f>'прил.2'!S21</f>
        <v>0</v>
      </c>
      <c r="H24" s="165"/>
      <c r="I24" s="165"/>
      <c r="J24" s="165"/>
      <c r="K24" s="165">
        <f>G24</f>
        <v>0</v>
      </c>
      <c r="L24" s="165"/>
      <c r="M24" s="165"/>
      <c r="N24" s="165"/>
      <c r="O24" s="165"/>
      <c r="P24" s="165"/>
      <c r="Q24" s="165">
        <f>'прил.2'!T21</f>
        <v>0</v>
      </c>
      <c r="R24" s="165"/>
      <c r="S24" s="165">
        <f>'прил.2'!U21</f>
        <v>0</v>
      </c>
      <c r="T24" s="165"/>
      <c r="U24" s="165">
        <f>'прил.2'!V21</f>
        <v>13.663123710312833</v>
      </c>
      <c r="V24" s="165">
        <f t="shared" si="4"/>
        <v>0</v>
      </c>
      <c r="W24" s="207">
        <f t="shared" si="5"/>
        <v>13.663123710312833</v>
      </c>
      <c r="X24" s="165">
        <f t="shared" si="3"/>
        <v>0</v>
      </c>
      <c r="Y24" s="246">
        <f t="shared" si="2"/>
        <v>13.663123710312833</v>
      </c>
      <c r="Z24" s="62">
        <f t="shared" si="6"/>
        <v>0</v>
      </c>
      <c r="AA24" s="62">
        <f t="shared" si="7"/>
        <v>0</v>
      </c>
    </row>
    <row r="25" spans="1:27" ht="15.75">
      <c r="A25" s="67" t="str">
        <f>'прил.2'!A22</f>
        <v>2.3.</v>
      </c>
      <c r="B25" s="37" t="str">
        <f>'прил.2'!B22</f>
        <v>Система хранения данных (СХД) Lenovo Storage V3700 V2 SFF Control Enclosure (6535C2D)</v>
      </c>
      <c r="C25" s="38" t="str">
        <f>'прил.2'!C22</f>
        <v>K_L07</v>
      </c>
      <c r="D25" s="165">
        <f>'прил.2'!I22</f>
        <v>6.186124325</v>
      </c>
      <c r="E25" s="165">
        <f>'прил.2'!L22</f>
        <v>0</v>
      </c>
      <c r="F25" s="165"/>
      <c r="G25" s="165">
        <f>'прил.2'!S22</f>
        <v>0</v>
      </c>
      <c r="H25" s="165"/>
      <c r="I25" s="165"/>
      <c r="J25" s="165"/>
      <c r="K25" s="165">
        <f>G25</f>
        <v>0</v>
      </c>
      <c r="L25" s="165"/>
      <c r="M25" s="165"/>
      <c r="N25" s="165"/>
      <c r="O25" s="165"/>
      <c r="P25" s="165"/>
      <c r="Q25" s="165">
        <f>'прил.2'!T22</f>
        <v>6.186124325</v>
      </c>
      <c r="R25" s="165"/>
      <c r="S25" s="165">
        <f>'прил.2'!U22</f>
        <v>0</v>
      </c>
      <c r="T25" s="165"/>
      <c r="U25" s="165">
        <f>'прил.2'!V22</f>
        <v>0</v>
      </c>
      <c r="V25" s="165">
        <f t="shared" si="4"/>
        <v>0</v>
      </c>
      <c r="W25" s="207">
        <f t="shared" si="5"/>
        <v>6.186124325</v>
      </c>
      <c r="X25" s="165">
        <f t="shared" si="3"/>
        <v>0</v>
      </c>
      <c r="Y25" s="246">
        <f t="shared" si="2"/>
        <v>0</v>
      </c>
      <c r="Z25" s="62">
        <f t="shared" si="6"/>
        <v>0</v>
      </c>
      <c r="AA25" s="62">
        <f t="shared" si="7"/>
        <v>0</v>
      </c>
    </row>
    <row r="26" spans="1:27" ht="15.75">
      <c r="A26" s="67" t="str">
        <f>'прил.2'!A23</f>
        <v>2.4.</v>
      </c>
      <c r="B26" s="37" t="str">
        <f>'прил.2'!B23</f>
        <v>ИБП APC SRC2KI Smart-UPS RC 2000VA 1600W</v>
      </c>
      <c r="C26" s="38" t="str">
        <f>'прил.2'!C23</f>
        <v>K_01</v>
      </c>
      <c r="D26" s="165">
        <f>'прил.2'!I23</f>
        <v>0.22722261233242536</v>
      </c>
      <c r="E26" s="165">
        <f>'прил.2'!L23</f>
        <v>0</v>
      </c>
      <c r="F26" s="165"/>
      <c r="G26" s="165">
        <f>'прил.2'!S23</f>
        <v>0</v>
      </c>
      <c r="H26" s="165"/>
      <c r="I26" s="165"/>
      <c r="J26" s="165"/>
      <c r="K26" s="165">
        <f>G26</f>
        <v>0</v>
      </c>
      <c r="L26" s="165"/>
      <c r="M26" s="165"/>
      <c r="N26" s="165"/>
      <c r="O26" s="165"/>
      <c r="P26" s="165"/>
      <c r="Q26" s="165">
        <f>'прил.2'!T23</f>
        <v>0.22722261233242536</v>
      </c>
      <c r="R26" s="165"/>
      <c r="S26" s="165">
        <f>'прил.2'!U23</f>
        <v>0</v>
      </c>
      <c r="T26" s="165"/>
      <c r="U26" s="165">
        <f>'прил.2'!V23</f>
        <v>0</v>
      </c>
      <c r="V26" s="165">
        <f t="shared" si="4"/>
        <v>0</v>
      </c>
      <c r="W26" s="207">
        <f t="shared" si="5"/>
        <v>0.22722261233242536</v>
      </c>
      <c r="X26" s="165">
        <f t="shared" si="3"/>
        <v>0</v>
      </c>
      <c r="Y26" s="246">
        <f t="shared" si="2"/>
        <v>0</v>
      </c>
      <c r="Z26" s="62">
        <f t="shared" si="6"/>
        <v>0</v>
      </c>
      <c r="AA26" s="62">
        <f t="shared" si="7"/>
        <v>0</v>
      </c>
    </row>
    <row r="27" spans="1:27" ht="15.75">
      <c r="A27" s="67" t="str">
        <f>'прил.2'!A24</f>
        <v>2.5.</v>
      </c>
      <c r="B27" s="37" t="str">
        <f>'прил.2'!B24</f>
        <v>Ленточная библиотека HPE STOREEVER MSL2024 LTO-7 15000 SAS (P9G69A</v>
      </c>
      <c r="C27" s="38" t="str">
        <f>'прил.2'!C24</f>
        <v>K_02</v>
      </c>
      <c r="D27" s="165">
        <f>'прил.2'!I24</f>
        <v>0.15850669304858245</v>
      </c>
      <c r="E27" s="165">
        <f>'прил.2'!L24</f>
        <v>0</v>
      </c>
      <c r="F27" s="165"/>
      <c r="G27" s="165">
        <f>'прил.2'!S24</f>
        <v>0</v>
      </c>
      <c r="H27" s="165"/>
      <c r="I27" s="165"/>
      <c r="J27" s="165"/>
      <c r="K27" s="165"/>
      <c r="L27" s="165"/>
      <c r="M27" s="165"/>
      <c r="N27" s="165"/>
      <c r="O27" s="165"/>
      <c r="P27" s="165"/>
      <c r="Q27" s="165">
        <f>'прил.2'!T24</f>
        <v>0.15850669304858245</v>
      </c>
      <c r="R27" s="165"/>
      <c r="S27" s="165">
        <f>'прил.2'!U24</f>
        <v>0</v>
      </c>
      <c r="T27" s="165"/>
      <c r="U27" s="165">
        <f>'прил.2'!V24</f>
        <v>0</v>
      </c>
      <c r="V27" s="165">
        <f t="shared" si="4"/>
        <v>0</v>
      </c>
      <c r="W27" s="207">
        <f t="shared" si="5"/>
        <v>0.15850669304858245</v>
      </c>
      <c r="X27" s="165">
        <f t="shared" si="3"/>
        <v>0</v>
      </c>
      <c r="Y27" s="246">
        <f t="shared" si="2"/>
        <v>0</v>
      </c>
      <c r="Z27" s="62">
        <f t="shared" si="6"/>
        <v>0</v>
      </c>
      <c r="AA27" s="62">
        <f t="shared" si="7"/>
        <v>0</v>
      </c>
    </row>
    <row r="28" spans="1:27" ht="31.5">
      <c r="A28" s="145" t="str">
        <f>'прил.2'!A25</f>
        <v>2.6.</v>
      </c>
      <c r="B28" s="149" t="str">
        <f>'прил.2'!B25</f>
        <v>Система хранения данных (СХД) HPE MSA 1050 8Gb Fibre Channel Dual Controller SFF Storage (Q2R19A)</v>
      </c>
      <c r="C28" s="150" t="str">
        <f>'прил.2'!C25</f>
        <v>K_03</v>
      </c>
      <c r="D28" s="165">
        <f>'прил.2'!I25</f>
        <v>1.1032332288644078</v>
      </c>
      <c r="E28" s="165">
        <f>'прил.2'!L25</f>
        <v>0</v>
      </c>
      <c r="F28" s="165"/>
      <c r="G28" s="165">
        <f>'прил.2'!S25</f>
        <v>0</v>
      </c>
      <c r="H28" s="165"/>
      <c r="I28" s="165"/>
      <c r="J28" s="165"/>
      <c r="K28" s="165"/>
      <c r="L28" s="165"/>
      <c r="M28" s="165"/>
      <c r="N28" s="165"/>
      <c r="O28" s="165"/>
      <c r="P28" s="165"/>
      <c r="Q28" s="165">
        <f>'прил.2'!T25</f>
        <v>1.1032332288644078</v>
      </c>
      <c r="R28" s="165"/>
      <c r="S28" s="165">
        <f>'прил.2'!U25</f>
        <v>0</v>
      </c>
      <c r="T28" s="165"/>
      <c r="U28" s="165">
        <f>'прил.2'!V25</f>
        <v>0</v>
      </c>
      <c r="V28" s="165">
        <f t="shared" si="4"/>
        <v>0</v>
      </c>
      <c r="W28" s="207">
        <f t="shared" si="5"/>
        <v>1.1032332288644078</v>
      </c>
      <c r="X28" s="165">
        <f t="shared" si="3"/>
        <v>0</v>
      </c>
      <c r="Y28" s="246">
        <f t="shared" si="2"/>
        <v>0</v>
      </c>
      <c r="Z28" s="62">
        <f t="shared" si="6"/>
        <v>0</v>
      </c>
      <c r="AA28" s="62">
        <f t="shared" si="7"/>
        <v>0</v>
      </c>
    </row>
    <row r="29" spans="1:27" ht="15.75">
      <c r="A29" s="145" t="str">
        <f>'прил.2'!A26</f>
        <v>2.7.</v>
      </c>
      <c r="B29" s="149" t="str">
        <f>'прил.2'!B26</f>
        <v>Моноблок 23.8" HP 24-df1008ur (2Y0P0EA)</v>
      </c>
      <c r="C29" s="150" t="str">
        <f>'прил.2'!C26</f>
        <v>L_КАЭС.01</v>
      </c>
      <c r="D29" s="165">
        <f>'прил.2'!I26</f>
        <v>12.9965</v>
      </c>
      <c r="E29" s="165">
        <f>'прил.2'!L26</f>
        <v>6.49825</v>
      </c>
      <c r="F29" s="165"/>
      <c r="G29" s="165">
        <f>'прил.2'!S26</f>
        <v>0</v>
      </c>
      <c r="H29" s="165"/>
      <c r="I29" s="165"/>
      <c r="J29" s="165"/>
      <c r="K29" s="165"/>
      <c r="L29" s="165"/>
      <c r="M29" s="165"/>
      <c r="N29" s="165"/>
      <c r="O29" s="165"/>
      <c r="P29" s="165"/>
      <c r="Q29" s="165">
        <f>'прил.2'!T26</f>
        <v>6.49825</v>
      </c>
      <c r="R29" s="165"/>
      <c r="S29" s="165">
        <f>'прил.2'!U26</f>
        <v>0</v>
      </c>
      <c r="T29" s="165"/>
      <c r="U29" s="165">
        <f>'прил.2'!V26</f>
        <v>6.49825</v>
      </c>
      <c r="V29" s="165">
        <f>T29+P29+F29</f>
        <v>0</v>
      </c>
      <c r="W29" s="207">
        <f>U29+Q29+G29</f>
        <v>12.9965</v>
      </c>
      <c r="X29" s="165">
        <f t="shared" si="3"/>
        <v>0</v>
      </c>
      <c r="Y29" s="246">
        <f t="shared" si="2"/>
        <v>6.49825</v>
      </c>
      <c r="Z29" s="62"/>
      <c r="AA29" s="62"/>
    </row>
    <row r="30" spans="1:27" ht="15.75">
      <c r="A30" s="66" t="str">
        <f>'прил.2'!A27</f>
        <v>3.</v>
      </c>
      <c r="B30" s="42" t="str">
        <f>'прил.2'!B27</f>
        <v>Оснащение интеллектуальной системой учета</v>
      </c>
      <c r="C30" s="135"/>
      <c r="D30" s="165"/>
      <c r="E30" s="165">
        <f>'прил.2'!L27</f>
        <v>0</v>
      </c>
      <c r="F30" s="165"/>
      <c r="G30" s="164"/>
      <c r="H30" s="165"/>
      <c r="I30" s="164"/>
      <c r="J30" s="165"/>
      <c r="K30" s="164"/>
      <c r="L30" s="165"/>
      <c r="M30" s="164"/>
      <c r="N30" s="165"/>
      <c r="O30" s="164"/>
      <c r="P30" s="165"/>
      <c r="Q30" s="165"/>
      <c r="R30" s="165"/>
      <c r="S30" s="165">
        <f>'прил.2'!U27</f>
        <v>0</v>
      </c>
      <c r="T30" s="165"/>
      <c r="U30" s="165"/>
      <c r="V30" s="164"/>
      <c r="W30" s="208"/>
      <c r="X30" s="165">
        <f t="shared" si="3"/>
        <v>0</v>
      </c>
      <c r="Y30" s="246">
        <f t="shared" si="2"/>
        <v>0</v>
      </c>
      <c r="Z30" s="62">
        <f>W30-U30-Q30-G30</f>
        <v>0</v>
      </c>
      <c r="AA30" s="62">
        <f>W30+V30-D30</f>
        <v>0</v>
      </c>
    </row>
    <row r="31" spans="1:27" ht="15.75">
      <c r="A31" s="67" t="str">
        <f>'прил.1'!A28</f>
        <v>3.1.</v>
      </c>
      <c r="B31" s="37" t="str">
        <f>'прил.1'!B28</f>
        <v>Оборудование многоквартирных жилых домов интеллектуальной системой учета </v>
      </c>
      <c r="C31" s="38" t="str">
        <f>'прил.1'!C28</f>
        <v>K_L15</v>
      </c>
      <c r="D31" s="165">
        <f>'прил.2'!I28</f>
        <v>696.8115434666668</v>
      </c>
      <c r="E31" s="165">
        <f>'прил.2'!L28</f>
        <v>613.0472630416667</v>
      </c>
      <c r="F31" s="165"/>
      <c r="G31" s="165">
        <f>'прил.2'!S28</f>
        <v>232.33305964166664</v>
      </c>
      <c r="H31" s="165"/>
      <c r="I31" s="165"/>
      <c r="J31" s="165"/>
      <c r="K31" s="165"/>
      <c r="L31" s="165"/>
      <c r="M31" s="165"/>
      <c r="N31" s="165"/>
      <c r="O31" s="165">
        <f>G31</f>
        <v>232.33305964166664</v>
      </c>
      <c r="P31" s="165"/>
      <c r="Q31" s="165">
        <f>'прил.2'!T28</f>
        <v>232.260640425</v>
      </c>
      <c r="R31" s="165"/>
      <c r="S31" s="165">
        <f>'прил.2'!U28</f>
        <v>148.49635999999998</v>
      </c>
      <c r="T31" s="165"/>
      <c r="U31" s="165">
        <f>'прил.2'!V28</f>
        <v>232.2178434</v>
      </c>
      <c r="V31" s="165">
        <f>T31+P31+F31</f>
        <v>0</v>
      </c>
      <c r="W31" s="207">
        <f>U31+Q31+G31</f>
        <v>696.8115434666666</v>
      </c>
      <c r="X31" s="165">
        <f t="shared" si="3"/>
        <v>0</v>
      </c>
      <c r="Y31" s="246">
        <f t="shared" si="2"/>
        <v>613.0472630416666</v>
      </c>
      <c r="Z31" s="62">
        <f>W31-U31-Q31-G31</f>
        <v>0</v>
      </c>
      <c r="AA31" s="62">
        <f>W31+V31-D31</f>
        <v>0</v>
      </c>
    </row>
    <row r="32" spans="1:27" ht="15.75">
      <c r="A32" s="66" t="str">
        <f>'прил.2'!A29</f>
        <v>4.</v>
      </c>
      <c r="B32" s="42" t="str">
        <f>'прил.2'!B29</f>
        <v>Иные проекты</v>
      </c>
      <c r="C32" s="38"/>
      <c r="D32" s="165"/>
      <c r="E32" s="165">
        <f>'прил.2'!L29</f>
        <v>0</v>
      </c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>
        <f>'прил.2'!U29</f>
        <v>0</v>
      </c>
      <c r="T32" s="165"/>
      <c r="U32" s="165"/>
      <c r="V32" s="165"/>
      <c r="W32" s="207"/>
      <c r="X32" s="165">
        <f t="shared" si="3"/>
        <v>0</v>
      </c>
      <c r="Y32" s="246">
        <f t="shared" si="2"/>
        <v>0</v>
      </c>
      <c r="Z32" s="62"/>
      <c r="AA32" s="62"/>
    </row>
    <row r="33" spans="1:27" ht="15.75">
      <c r="A33" s="67" t="str">
        <f>'прил.1'!A30</f>
        <v>4.1.</v>
      </c>
      <c r="B33" s="37" t="str">
        <f>'прил.1'!B30</f>
        <v>Модернизация ЕКЦ (Робот-оператор)</v>
      </c>
      <c r="C33" s="38" t="str">
        <f>'прил.1'!C30</f>
        <v>L_КАЭС.03</v>
      </c>
      <c r="D33" s="165">
        <f>'прил.2'!I30</f>
        <v>22.756666666666668</v>
      </c>
      <c r="E33" s="165">
        <f>'прил.2'!L30</f>
        <v>0</v>
      </c>
      <c r="F33" s="165"/>
      <c r="G33" s="165">
        <f>'прил.2'!S30</f>
        <v>0</v>
      </c>
      <c r="H33" s="165"/>
      <c r="I33" s="165"/>
      <c r="J33" s="165"/>
      <c r="K33" s="165"/>
      <c r="L33" s="165"/>
      <c r="M33" s="165"/>
      <c r="N33" s="165"/>
      <c r="O33" s="165">
        <f>G33</f>
        <v>0</v>
      </c>
      <c r="P33" s="165"/>
      <c r="Q33" s="165">
        <f>'прил.2'!T30</f>
        <v>22.756666666666668</v>
      </c>
      <c r="R33" s="165"/>
      <c r="S33" s="165">
        <f>'прил.2'!U30</f>
        <v>0</v>
      </c>
      <c r="T33" s="165"/>
      <c r="U33" s="165">
        <f>'прил.2'!V30</f>
        <v>0</v>
      </c>
      <c r="V33" s="165">
        <f>T33+P33+F33</f>
        <v>0</v>
      </c>
      <c r="W33" s="207">
        <f>U33+Q33+G33</f>
        <v>22.756666666666668</v>
      </c>
      <c r="X33" s="165">
        <f t="shared" si="3"/>
        <v>0</v>
      </c>
      <c r="Y33" s="246">
        <f t="shared" si="2"/>
        <v>0</v>
      </c>
      <c r="Z33" s="62"/>
      <c r="AA33" s="62"/>
    </row>
    <row r="34" spans="1:27" s="34" customFormat="1" ht="16.5" thickBot="1">
      <c r="A34" s="69"/>
      <c r="B34" s="146" t="s">
        <v>144</v>
      </c>
      <c r="C34" s="151"/>
      <c r="D34" s="171">
        <f aca="true" t="shared" si="8" ref="D34:Y34">SUM(D16:D33)</f>
        <v>766.5781253278917</v>
      </c>
      <c r="E34" s="171">
        <f t="shared" si="8"/>
        <v>635.9744047519796</v>
      </c>
      <c r="F34" s="171">
        <f t="shared" si="8"/>
        <v>0</v>
      </c>
      <c r="G34" s="171">
        <f t="shared" si="8"/>
        <v>232.33305964166664</v>
      </c>
      <c r="H34" s="171">
        <f t="shared" si="8"/>
        <v>0</v>
      </c>
      <c r="I34" s="171">
        <f t="shared" si="8"/>
        <v>0</v>
      </c>
      <c r="J34" s="171">
        <f t="shared" si="8"/>
        <v>0</v>
      </c>
      <c r="K34" s="171">
        <f t="shared" si="8"/>
        <v>0</v>
      </c>
      <c r="L34" s="171">
        <f t="shared" si="8"/>
        <v>0</v>
      </c>
      <c r="M34" s="171">
        <f t="shared" si="8"/>
        <v>0</v>
      </c>
      <c r="N34" s="171">
        <f t="shared" si="8"/>
        <v>0</v>
      </c>
      <c r="O34" s="171">
        <f t="shared" si="8"/>
        <v>232.33305964166664</v>
      </c>
      <c r="P34" s="171">
        <f t="shared" si="8"/>
        <v>0</v>
      </c>
      <c r="Q34" s="171">
        <f t="shared" si="8"/>
        <v>279.10008057591205</v>
      </c>
      <c r="R34" s="171">
        <f>SUM(R16:R33)</f>
        <v>0</v>
      </c>
      <c r="S34" s="171">
        <f>SUM(S16:S33)</f>
        <v>148.49635999999998</v>
      </c>
      <c r="T34" s="171">
        <f t="shared" si="8"/>
        <v>0</v>
      </c>
      <c r="U34" s="171">
        <f t="shared" si="8"/>
        <v>255.14498511031283</v>
      </c>
      <c r="V34" s="171">
        <f t="shared" si="8"/>
        <v>0</v>
      </c>
      <c r="W34" s="219">
        <f t="shared" si="8"/>
        <v>766.5781253278916</v>
      </c>
      <c r="X34" s="171">
        <f t="shared" si="8"/>
        <v>0</v>
      </c>
      <c r="Y34" s="250">
        <f t="shared" si="8"/>
        <v>635.9744047519795</v>
      </c>
      <c r="Z34" s="119"/>
      <c r="AA34" s="119"/>
    </row>
    <row r="35" spans="1:27" ht="24.75" customHeight="1">
      <c r="A35" s="105"/>
      <c r="B35" s="106"/>
      <c r="C35" s="17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62">
        <f>W35-U35-Q35-G35</f>
        <v>0</v>
      </c>
      <c r="AA35" s="62">
        <f>W35+V35-D35</f>
        <v>0</v>
      </c>
    </row>
    <row r="36" spans="1:34" ht="20.25">
      <c r="A36" s="255"/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</row>
    <row r="37" spans="1:25" ht="15.75">
      <c r="A37" s="105"/>
      <c r="B37" s="106"/>
      <c r="C37" s="17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</row>
    <row r="38" spans="1:25" ht="15.75">
      <c r="A38" s="105"/>
      <c r="B38" s="10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</row>
    <row r="39" spans="1:25" ht="15.75">
      <c r="A39" s="105"/>
      <c r="B39" s="10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5.75">
      <c r="A40" s="105"/>
      <c r="B40" s="10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</row>
    <row r="41" spans="1:25" ht="15.75">
      <c r="A41" s="105"/>
      <c r="B41" s="10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</row>
    <row r="42" spans="1:25" ht="15.75">
      <c r="A42" s="105"/>
      <c r="B42" s="10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</row>
    <row r="43" spans="1:25" ht="15.75">
      <c r="A43" s="105"/>
      <c r="B43" s="10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</row>
    <row r="44" spans="1:25" ht="15.75">
      <c r="A44" s="105"/>
      <c r="B44" s="10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</row>
    <row r="45" spans="1:25" ht="15.75">
      <c r="A45" s="105"/>
      <c r="B45" s="10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spans="1:25" ht="15.75">
      <c r="A46" s="105"/>
      <c r="B46" s="10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</row>
    <row r="47" spans="1:25" ht="15.75">
      <c r="A47" s="105"/>
      <c r="B47" s="10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</row>
    <row r="48" spans="1:25" ht="15.75">
      <c r="A48" s="105"/>
      <c r="B48" s="10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</row>
    <row r="49" spans="1:25" ht="15.75">
      <c r="A49" s="105"/>
      <c r="B49" s="10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</row>
    <row r="50" spans="1:25" ht="15.75">
      <c r="A50" s="105"/>
      <c r="B50" s="10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</row>
    <row r="51" spans="1:25" ht="15.75">
      <c r="A51" s="105"/>
      <c r="B51" s="10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</row>
    <row r="52" spans="1:25" ht="15.75">
      <c r="A52" s="105"/>
      <c r="B52" s="10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</row>
    <row r="53" spans="1:25" ht="15.75">
      <c r="A53" s="105"/>
      <c r="B53" s="10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</row>
    <row r="54" spans="1:25" ht="15.75">
      <c r="A54" s="105"/>
      <c r="B54" s="10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</row>
    <row r="55" spans="1:25" ht="15.75">
      <c r="A55" s="105"/>
      <c r="B55" s="10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</row>
    <row r="56" spans="1:25" ht="15.75">
      <c r="A56" s="105"/>
      <c r="B56" s="10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</row>
    <row r="57" spans="1:25" ht="15.75">
      <c r="A57" s="105"/>
      <c r="B57" s="10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</row>
    <row r="58" spans="1:25" ht="15.75">
      <c r="A58" s="105"/>
      <c r="B58" s="10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</row>
    <row r="59" spans="1:25" ht="15.75">
      <c r="A59" s="105"/>
      <c r="B59" s="106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</row>
    <row r="60" spans="1:25" ht="15.75">
      <c r="A60" s="105"/>
      <c r="B60" s="10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</row>
    <row r="61" spans="1:25" ht="15.75">
      <c r="A61" s="105"/>
      <c r="B61" s="10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</row>
    <row r="62" spans="1:25" ht="15.75">
      <c r="A62" s="105"/>
      <c r="B62" s="10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</row>
    <row r="63" spans="1:25" ht="15.75">
      <c r="A63" s="105"/>
      <c r="B63" s="10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</row>
    <row r="64" spans="1:25" ht="15.75">
      <c r="A64" s="105"/>
      <c r="B64" s="10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</row>
    <row r="65" spans="1:25" ht="15.75">
      <c r="A65" s="105"/>
      <c r="B65" s="10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</row>
    <row r="66" spans="1:25" ht="15.75">
      <c r="A66" s="105"/>
      <c r="B66" s="10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</row>
    <row r="67" spans="1:25" ht="15.75">
      <c r="A67" s="105"/>
      <c r="B67" s="10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</row>
    <row r="68" spans="1:25" ht="15.75">
      <c r="A68" s="105"/>
      <c r="B68" s="10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</row>
    <row r="69" spans="1:25" ht="15.75">
      <c r="A69" s="105"/>
      <c r="B69" s="10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</row>
    <row r="70" spans="1:25" ht="15.75">
      <c r="A70" s="105"/>
      <c r="B70" s="10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</row>
    <row r="71" spans="1:25" ht="15.75">
      <c r="A71" s="105"/>
      <c r="B71" s="10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</row>
    <row r="72" spans="1:25" ht="15.75">
      <c r="A72" s="105"/>
      <c r="B72" s="10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</row>
    <row r="73" spans="1:25" ht="15.75">
      <c r="A73" s="105"/>
      <c r="B73" s="10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</row>
    <row r="74" spans="1:25" ht="15.75">
      <c r="A74" s="105"/>
      <c r="B74" s="10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</row>
    <row r="75" spans="1:25" ht="15.75">
      <c r="A75" s="105"/>
      <c r="B75" s="10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</row>
    <row r="76" spans="1:25" ht="15.75">
      <c r="A76" s="105"/>
      <c r="B76" s="10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</row>
    <row r="77" spans="1:25" ht="15.75">
      <c r="A77" s="105"/>
      <c r="B77" s="10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</row>
    <row r="78" spans="1:25" ht="15.75">
      <c r="A78" s="105"/>
      <c r="B78" s="10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</row>
    <row r="79" spans="1:25" ht="15.75">
      <c r="A79" s="105"/>
      <c r="B79" s="106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</row>
    <row r="80" spans="1:25" ht="15.75">
      <c r="A80" s="105"/>
      <c r="B80" s="106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</row>
    <row r="81" spans="1:25" ht="15.75">
      <c r="A81" s="105"/>
      <c r="B81" s="106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</row>
    <row r="82" spans="1:25" ht="15.75">
      <c r="A82" s="105"/>
      <c r="B82" s="106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</row>
    <row r="83" spans="1:25" ht="15.75">
      <c r="A83" s="105"/>
      <c r="B83" s="106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</row>
    <row r="84" spans="1:25" ht="15.75">
      <c r="A84" s="105"/>
      <c r="B84" s="106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</row>
    <row r="85" spans="1:25" ht="15.75">
      <c r="A85" s="105"/>
      <c r="B85" s="106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</row>
    <row r="86" spans="1:25" ht="15.75">
      <c r="A86" s="105"/>
      <c r="B86" s="106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</row>
    <row r="87" spans="1:25" ht="15.75">
      <c r="A87" s="105"/>
      <c r="B87" s="106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</row>
    <row r="88" spans="1:25" ht="15.75">
      <c r="A88" s="105"/>
      <c r="B88" s="106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</row>
    <row r="90" spans="1:23" ht="15.75">
      <c r="A90" s="315"/>
      <c r="B90" s="315"/>
      <c r="C90" s="315"/>
      <c r="D90" s="315"/>
      <c r="E90" s="315"/>
      <c r="F90" s="315"/>
      <c r="G90" s="315"/>
      <c r="H90" s="315"/>
      <c r="I90" s="315"/>
      <c r="J90" s="315"/>
      <c r="K90" s="315"/>
      <c r="L90" s="315"/>
      <c r="M90" s="315"/>
      <c r="N90" s="315"/>
      <c r="O90" s="315"/>
      <c r="P90" s="315"/>
      <c r="Q90" s="315"/>
      <c r="R90" s="315"/>
      <c r="S90" s="315"/>
      <c r="T90" s="315"/>
      <c r="U90" s="315"/>
      <c r="V90" s="315"/>
      <c r="W90" s="315"/>
    </row>
  </sheetData>
  <sheetProtection/>
  <mergeCells count="32">
    <mergeCell ref="L11:M11"/>
    <mergeCell ref="L12:M12"/>
    <mergeCell ref="H11:I11"/>
    <mergeCell ref="H12:I12"/>
    <mergeCell ref="X12:Y12"/>
    <mergeCell ref="F10:Y10"/>
    <mergeCell ref="V11:Y11"/>
    <mergeCell ref="D10:E12"/>
    <mergeCell ref="R12:S12"/>
    <mergeCell ref="P11:S11"/>
    <mergeCell ref="N11:O11"/>
    <mergeCell ref="N12:O12"/>
    <mergeCell ref="F12:G12"/>
    <mergeCell ref="P12:Q12"/>
    <mergeCell ref="E13:E14"/>
    <mergeCell ref="V12:W12"/>
    <mergeCell ref="A90:W90"/>
    <mergeCell ref="C10:C14"/>
    <mergeCell ref="F11:G11"/>
    <mergeCell ref="D13:D14"/>
    <mergeCell ref="B10:B14"/>
    <mergeCell ref="A36:AH36"/>
    <mergeCell ref="J11:K11"/>
    <mergeCell ref="J12:K12"/>
    <mergeCell ref="A4:Q4"/>
    <mergeCell ref="A5:Q5"/>
    <mergeCell ref="A7:Q7"/>
    <mergeCell ref="A8:Q8"/>
    <mergeCell ref="A9:W9"/>
    <mergeCell ref="A10:A14"/>
    <mergeCell ref="T11:U11"/>
    <mergeCell ref="T12:U12"/>
  </mergeCells>
  <printOptions/>
  <pageMargins left="0.7086614173228347" right="0" top="0.7480314960629921" bottom="0.7480314960629921" header="0.31496062992125984" footer="0.31496062992125984"/>
  <pageSetup fitToHeight="1" fitToWidth="1" horizontalDpi="600" verticalDpi="600" orientation="landscape" paperSize="9" scale="28" r:id="rId1"/>
  <colBreaks count="1" manualBreakCount="1">
    <brk id="2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4"/>
  <sheetViews>
    <sheetView view="pageBreakPreview" zoomScale="70" zoomScaleNormal="85" zoomScaleSheetLayoutView="70" workbookViewId="0" topLeftCell="A7">
      <selection activeCell="G39" sqref="G39"/>
    </sheetView>
  </sheetViews>
  <sheetFormatPr defaultColWidth="10.25390625" defaultRowHeight="12.75"/>
  <cols>
    <col min="1" max="1" width="10.125" style="79" customWidth="1"/>
    <col min="2" max="2" width="69.375" style="80" customWidth="1"/>
    <col min="3" max="3" width="19.00390625" style="77" customWidth="1"/>
    <col min="4" max="6" width="19.625" style="77" customWidth="1"/>
    <col min="7" max="8" width="20.625" style="77" customWidth="1"/>
    <col min="9" max="9" width="16.75390625" style="77" hidden="1" customWidth="1"/>
    <col min="10" max="10" width="22.125" style="77" hidden="1" customWidth="1"/>
    <col min="11" max="16384" width="10.25390625" style="77" customWidth="1"/>
  </cols>
  <sheetData>
    <row r="1" spans="1:52" ht="18.75">
      <c r="A1" s="1"/>
      <c r="B1" s="1"/>
      <c r="C1" s="1"/>
      <c r="D1" s="1"/>
      <c r="E1" s="1"/>
      <c r="F1" s="1"/>
      <c r="G1" s="2" t="s">
        <v>112</v>
      </c>
      <c r="H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T1" s="1"/>
      <c r="AU1" s="1"/>
      <c r="AV1" s="1"/>
      <c r="AW1" s="1"/>
      <c r="AX1" s="1"/>
      <c r="AY1" s="1"/>
      <c r="AZ1" s="1"/>
    </row>
    <row r="2" spans="1:52" ht="18.75">
      <c r="A2" s="1"/>
      <c r="B2" s="1"/>
      <c r="C2" s="1"/>
      <c r="D2" s="1"/>
      <c r="E2" s="1"/>
      <c r="F2" s="1"/>
      <c r="G2" s="3"/>
      <c r="H2" s="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T2" s="1"/>
      <c r="AU2" s="1"/>
      <c r="AV2" s="1"/>
      <c r="AW2" s="1"/>
      <c r="AX2" s="1"/>
      <c r="AY2" s="1"/>
      <c r="AZ2" s="1"/>
    </row>
    <row r="3" spans="1:52" ht="18.75">
      <c r="A3" s="1"/>
      <c r="B3" s="1"/>
      <c r="C3" s="1"/>
      <c r="D3" s="1"/>
      <c r="E3" s="1"/>
      <c r="F3" s="1"/>
      <c r="G3" s="3"/>
      <c r="H3" s="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T3" s="1"/>
      <c r="AU3" s="1"/>
      <c r="AV3" s="1"/>
      <c r="AW3" s="1"/>
      <c r="AX3" s="1"/>
      <c r="AY3" s="1"/>
      <c r="AZ3" s="1"/>
    </row>
    <row r="4" spans="1:52" ht="18.75">
      <c r="A4" s="1"/>
      <c r="B4" s="1"/>
      <c r="C4" s="1"/>
      <c r="D4" s="1"/>
      <c r="E4" s="1"/>
      <c r="F4" s="1"/>
      <c r="G4" s="3"/>
      <c r="H4" s="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T4" s="1"/>
      <c r="AU4" s="1"/>
      <c r="AV4" s="1"/>
      <c r="AW4" s="1"/>
      <c r="AX4" s="1"/>
      <c r="AY4" s="1"/>
      <c r="AZ4" s="1"/>
    </row>
    <row r="5" spans="1:52" ht="15.75">
      <c r="A5" s="344" t="s">
        <v>22</v>
      </c>
      <c r="B5" s="344"/>
      <c r="C5" s="344"/>
      <c r="D5" s="344"/>
      <c r="E5" s="344"/>
      <c r="F5" s="344"/>
      <c r="G5" s="344"/>
      <c r="H5" s="188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</row>
    <row r="6" spans="1:52" ht="15.75">
      <c r="A6" s="345" t="s">
        <v>88</v>
      </c>
      <c r="B6" s="345"/>
      <c r="C6" s="345"/>
      <c r="D6" s="345"/>
      <c r="E6" s="345"/>
      <c r="F6" s="345"/>
      <c r="G6" s="345"/>
      <c r="H6" s="189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1"/>
      <c r="AU6" s="1"/>
      <c r="AV6" s="1"/>
      <c r="AW6" s="1"/>
      <c r="AX6" s="1"/>
      <c r="AY6" s="1"/>
      <c r="AZ6" s="1"/>
    </row>
    <row r="7" spans="1:8" ht="15.75">
      <c r="A7" s="346" t="s">
        <v>201</v>
      </c>
      <c r="B7" s="346"/>
      <c r="C7" s="346"/>
      <c r="D7" s="346"/>
      <c r="E7" s="346"/>
      <c r="F7" s="346"/>
      <c r="G7" s="346"/>
      <c r="H7" s="190"/>
    </row>
    <row r="8" spans="1:8" ht="18.75">
      <c r="A8" s="347"/>
      <c r="B8" s="347"/>
      <c r="C8" s="347"/>
      <c r="D8" s="347"/>
      <c r="E8" s="347"/>
      <c r="F8" s="347"/>
      <c r="G8" s="347"/>
      <c r="H8" s="191"/>
    </row>
    <row r="9" spans="1:8" ht="15.75">
      <c r="A9" s="348" t="s">
        <v>2</v>
      </c>
      <c r="B9" s="348"/>
      <c r="C9" s="348"/>
      <c r="D9" s="348"/>
      <c r="E9" s="348"/>
      <c r="F9" s="348"/>
      <c r="G9" s="348"/>
      <c r="H9" s="192"/>
    </row>
    <row r="10" spans="1:8" ht="15.75">
      <c r="A10" s="349"/>
      <c r="B10" s="349"/>
      <c r="C10" s="349"/>
      <c r="D10" s="349"/>
      <c r="E10" s="349"/>
      <c r="F10" s="349"/>
      <c r="G10" s="349"/>
      <c r="H10" s="79"/>
    </row>
    <row r="11" spans="1:33" ht="15.75">
      <c r="A11" s="333" t="s">
        <v>161</v>
      </c>
      <c r="B11" s="333"/>
      <c r="C11" s="333"/>
      <c r="D11" s="333"/>
      <c r="E11" s="333"/>
      <c r="F11" s="333"/>
      <c r="G11" s="333"/>
      <c r="H11" s="195"/>
      <c r="M11" s="80"/>
      <c r="R11" s="80"/>
      <c r="W11" s="80"/>
      <c r="AB11" s="80"/>
      <c r="AG11" s="80"/>
    </row>
    <row r="12" spans="1:8" ht="15.75">
      <c r="A12" s="334" t="s">
        <v>89</v>
      </c>
      <c r="B12" s="334"/>
      <c r="C12" s="334"/>
      <c r="D12" s="334"/>
      <c r="E12" s="334"/>
      <c r="F12" s="334"/>
      <c r="G12" s="334"/>
      <c r="H12" s="196"/>
    </row>
    <row r="13" spans="1:32" ht="16.5" thickBot="1">
      <c r="A13" s="77"/>
      <c r="B13" s="77"/>
      <c r="G13" s="81" t="s">
        <v>23</v>
      </c>
      <c r="H13" s="81"/>
      <c r="AB13" s="82"/>
      <c r="AC13" s="82"/>
      <c r="AD13" s="82"/>
      <c r="AE13" s="82"/>
      <c r="AF13" s="82"/>
    </row>
    <row r="14" spans="1:32" ht="15.75">
      <c r="A14" s="335" t="s">
        <v>24</v>
      </c>
      <c r="B14" s="337" t="s">
        <v>25</v>
      </c>
      <c r="C14" s="83" t="s">
        <v>67</v>
      </c>
      <c r="D14" s="341" t="s">
        <v>114</v>
      </c>
      <c r="E14" s="343"/>
      <c r="F14" s="84" t="s">
        <v>148</v>
      </c>
      <c r="G14" s="341" t="s">
        <v>26</v>
      </c>
      <c r="H14" s="342"/>
      <c r="AB14" s="82"/>
      <c r="AC14" s="82"/>
      <c r="AD14" s="82"/>
      <c r="AE14" s="82"/>
      <c r="AF14" s="82"/>
    </row>
    <row r="15" spans="1:8" ht="55.5" customHeight="1">
      <c r="A15" s="336"/>
      <c r="B15" s="338"/>
      <c r="C15" s="85" t="s">
        <v>27</v>
      </c>
      <c r="D15" s="85" t="s">
        <v>27</v>
      </c>
      <c r="E15" s="242" t="s">
        <v>190</v>
      </c>
      <c r="F15" s="85" t="s">
        <v>27</v>
      </c>
      <c r="G15" s="220" t="s">
        <v>11</v>
      </c>
      <c r="H15" s="350" t="s">
        <v>190</v>
      </c>
    </row>
    <row r="16" spans="1:9" ht="15.75">
      <c r="A16" s="86">
        <v>1</v>
      </c>
      <c r="B16" s="351">
        <f>A16+1</f>
        <v>2</v>
      </c>
      <c r="C16" s="351">
        <f aca="true" t="shared" si="0" ref="C16:H16">B16+1</f>
        <v>3</v>
      </c>
      <c r="D16" s="351">
        <f t="shared" si="0"/>
        <v>4</v>
      </c>
      <c r="E16" s="351">
        <f t="shared" si="0"/>
        <v>5</v>
      </c>
      <c r="F16" s="351">
        <f t="shared" si="0"/>
        <v>6</v>
      </c>
      <c r="G16" s="351">
        <f t="shared" si="0"/>
        <v>7</v>
      </c>
      <c r="H16" s="351">
        <f t="shared" si="0"/>
        <v>8</v>
      </c>
      <c r="I16" s="97">
        <v>7</v>
      </c>
    </row>
    <row r="17" spans="1:256" ht="15.75">
      <c r="A17" s="339" t="s">
        <v>28</v>
      </c>
      <c r="B17" s="340"/>
      <c r="C17" s="87">
        <f>C18</f>
        <v>278.79967157</v>
      </c>
      <c r="D17" s="87">
        <f>D18</f>
        <v>334.9200966910945</v>
      </c>
      <c r="E17" s="87">
        <f>E18</f>
        <v>178.195632</v>
      </c>
      <c r="F17" s="87">
        <f>F18</f>
        <v>306.1739821323754</v>
      </c>
      <c r="G17" s="221">
        <f>G18</f>
        <v>919.8937503934699</v>
      </c>
      <c r="H17" s="251">
        <f>C17+E17+F17</f>
        <v>763.1692857023754</v>
      </c>
      <c r="I17" s="88">
        <f>G17-F17-D17-C17</f>
        <v>0</v>
      </c>
      <c r="J17" s="175">
        <f>H17-F17-E17-C17</f>
        <v>0</v>
      </c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  <c r="IT17" s="89"/>
      <c r="IU17" s="89"/>
      <c r="IV17" s="89"/>
    </row>
    <row r="18" spans="1:10" ht="15.75">
      <c r="A18" s="75" t="s">
        <v>29</v>
      </c>
      <c r="B18" s="155" t="s">
        <v>30</v>
      </c>
      <c r="C18" s="179">
        <f>'прил.1'!Q32</f>
        <v>278.79967157</v>
      </c>
      <c r="D18" s="179">
        <f>'прил.1'!Y32</f>
        <v>334.9200966910945</v>
      </c>
      <c r="E18" s="179">
        <f>'прил.1'!AJ28</f>
        <v>178.195632</v>
      </c>
      <c r="F18" s="179">
        <f>'прил.1'!AO32</f>
        <v>306.1739821323754</v>
      </c>
      <c r="G18" s="222">
        <f>+C18+D18+F18</f>
        <v>919.8937503934699</v>
      </c>
      <c r="H18" s="243">
        <f aca="true" t="shared" si="1" ref="H18:H39">C18+E18+F18</f>
        <v>763.1692857023754</v>
      </c>
      <c r="I18" s="88">
        <f>G18-F18-D18-C18</f>
        <v>0</v>
      </c>
      <c r="J18" s="175">
        <f aca="true" t="shared" si="2" ref="J18:J40">H18-F18-E18-C18</f>
        <v>0</v>
      </c>
    </row>
    <row r="19" spans="1:10" ht="15.75">
      <c r="A19" s="75" t="s">
        <v>31</v>
      </c>
      <c r="B19" s="153" t="s">
        <v>32</v>
      </c>
      <c r="C19" s="179">
        <f>C18-C29-C39</f>
        <v>226.76452223797384</v>
      </c>
      <c r="D19" s="179">
        <f>D18-D29-D39</f>
        <v>217.6096116563325</v>
      </c>
      <c r="E19" s="179">
        <f>E18-E29-E39</f>
        <v>106.74367999999998</v>
      </c>
      <c r="F19" s="179">
        <f>F18-F29-F39</f>
        <v>159.77060065202568</v>
      </c>
      <c r="G19" s="222">
        <f>+C19+D19+F19</f>
        <v>604.1447345463321</v>
      </c>
      <c r="H19" s="243">
        <f t="shared" si="1"/>
        <v>493.2788028899995</v>
      </c>
      <c r="I19" s="88">
        <f>G19-F19-D19-C19</f>
        <v>0</v>
      </c>
      <c r="J19" s="175">
        <f t="shared" si="2"/>
        <v>0</v>
      </c>
    </row>
    <row r="20" spans="1:10" ht="31.5">
      <c r="A20" s="75" t="s">
        <v>33</v>
      </c>
      <c r="B20" s="154" t="s">
        <v>90</v>
      </c>
      <c r="C20" s="179"/>
      <c r="D20" s="179"/>
      <c r="E20" s="179"/>
      <c r="F20" s="179"/>
      <c r="G20" s="222"/>
      <c r="H20" s="243"/>
      <c r="J20" s="175">
        <f t="shared" si="2"/>
        <v>0</v>
      </c>
    </row>
    <row r="21" spans="1:10" ht="15.75" hidden="1">
      <c r="A21" s="75"/>
      <c r="B21" s="156"/>
      <c r="C21" s="179"/>
      <c r="D21" s="179"/>
      <c r="E21" s="179"/>
      <c r="F21" s="179"/>
      <c r="G21" s="222"/>
      <c r="H21" s="243">
        <f t="shared" si="1"/>
        <v>0</v>
      </c>
      <c r="J21" s="175">
        <f t="shared" si="2"/>
        <v>0</v>
      </c>
    </row>
    <row r="22" spans="1:10" ht="15.75" hidden="1">
      <c r="A22" s="75"/>
      <c r="B22" s="156"/>
      <c r="C22" s="179"/>
      <c r="D22" s="179"/>
      <c r="E22" s="179"/>
      <c r="F22" s="179"/>
      <c r="G22" s="222"/>
      <c r="H22" s="243">
        <f t="shared" si="1"/>
        <v>0</v>
      </c>
      <c r="J22" s="175">
        <f t="shared" si="2"/>
        <v>0</v>
      </c>
    </row>
    <row r="23" spans="1:10" ht="15.75" hidden="1">
      <c r="A23" s="75"/>
      <c r="B23" s="156"/>
      <c r="C23" s="179"/>
      <c r="D23" s="179"/>
      <c r="E23" s="179"/>
      <c r="F23" s="179"/>
      <c r="G23" s="222"/>
      <c r="H23" s="243">
        <f t="shared" si="1"/>
        <v>0</v>
      </c>
      <c r="J23" s="175">
        <f t="shared" si="2"/>
        <v>0</v>
      </c>
    </row>
    <row r="24" spans="1:10" ht="31.5">
      <c r="A24" s="75" t="s">
        <v>34</v>
      </c>
      <c r="B24" s="154" t="s">
        <v>91</v>
      </c>
      <c r="C24" s="179">
        <f>C19</f>
        <v>226.76452223797384</v>
      </c>
      <c r="D24" s="179">
        <f>D19</f>
        <v>217.6096116563325</v>
      </c>
      <c r="E24" s="179">
        <f>E19</f>
        <v>106.74367999999998</v>
      </c>
      <c r="F24" s="179">
        <f>F19</f>
        <v>159.77060065202568</v>
      </c>
      <c r="G24" s="222">
        <f>G19</f>
        <v>604.1447345463321</v>
      </c>
      <c r="H24" s="243">
        <f t="shared" si="1"/>
        <v>493.2788028899995</v>
      </c>
      <c r="J24" s="175">
        <f t="shared" si="2"/>
        <v>0</v>
      </c>
    </row>
    <row r="25" spans="1:10" ht="15.75" hidden="1">
      <c r="A25" s="75"/>
      <c r="B25" s="154"/>
      <c r="C25" s="179"/>
      <c r="D25" s="179"/>
      <c r="E25" s="179"/>
      <c r="F25" s="179"/>
      <c r="G25" s="222"/>
      <c r="H25" s="243">
        <f t="shared" si="1"/>
        <v>0</v>
      </c>
      <c r="J25" s="175">
        <f t="shared" si="2"/>
        <v>0</v>
      </c>
    </row>
    <row r="26" spans="1:10" ht="15.75" hidden="1">
      <c r="A26" s="75"/>
      <c r="B26" s="156"/>
      <c r="C26" s="179"/>
      <c r="D26" s="179"/>
      <c r="E26" s="179"/>
      <c r="F26" s="179"/>
      <c r="G26" s="222"/>
      <c r="H26" s="243">
        <f t="shared" si="1"/>
        <v>0</v>
      </c>
      <c r="J26" s="175">
        <f t="shared" si="2"/>
        <v>0</v>
      </c>
    </row>
    <row r="27" spans="1:10" ht="15.75" hidden="1">
      <c r="A27" s="75"/>
      <c r="B27" s="156"/>
      <c r="C27" s="179"/>
      <c r="D27" s="179"/>
      <c r="E27" s="179"/>
      <c r="F27" s="179"/>
      <c r="G27" s="222"/>
      <c r="H27" s="243">
        <f t="shared" si="1"/>
        <v>0</v>
      </c>
      <c r="J27" s="175">
        <f t="shared" si="2"/>
        <v>0</v>
      </c>
    </row>
    <row r="28" spans="1:10" ht="15.75">
      <c r="A28" s="75" t="s">
        <v>35</v>
      </c>
      <c r="B28" s="154" t="s">
        <v>36</v>
      </c>
      <c r="C28" s="179"/>
      <c r="D28" s="179"/>
      <c r="E28" s="179"/>
      <c r="F28" s="179"/>
      <c r="G28" s="222"/>
      <c r="H28" s="243"/>
      <c r="J28" s="175">
        <f t="shared" si="2"/>
        <v>0</v>
      </c>
    </row>
    <row r="29" spans="1:10" ht="15.75">
      <c r="A29" s="75" t="s">
        <v>37</v>
      </c>
      <c r="B29" s="154" t="s">
        <v>38</v>
      </c>
      <c r="C29" s="179">
        <f>C31</f>
        <v>5.56853740369281</v>
      </c>
      <c r="D29" s="179">
        <f>D31</f>
        <v>61.4904689195796</v>
      </c>
      <c r="E29" s="179">
        <f>E31</f>
        <v>41.75268</v>
      </c>
      <c r="F29" s="179">
        <f>F31</f>
        <v>95.37438445828712</v>
      </c>
      <c r="G29" s="222">
        <f>+C29+D29+F29</f>
        <v>162.43339078155952</v>
      </c>
      <c r="H29" s="243">
        <f t="shared" si="1"/>
        <v>142.69560186197992</v>
      </c>
      <c r="I29" s="88">
        <f>G29-F29-D29-C29</f>
        <v>-8.881784197001252E-15</v>
      </c>
      <c r="J29" s="175">
        <f t="shared" si="2"/>
        <v>-8.881784197001252E-15</v>
      </c>
    </row>
    <row r="30" spans="1:10" ht="31.5">
      <c r="A30" s="75" t="s">
        <v>39</v>
      </c>
      <c r="B30" s="154" t="s">
        <v>92</v>
      </c>
      <c r="C30" s="179">
        <f>C31</f>
        <v>5.56853740369281</v>
      </c>
      <c r="D30" s="179">
        <f>D31</f>
        <v>61.4904689195796</v>
      </c>
      <c r="E30" s="179">
        <f>E31</f>
        <v>41.75268</v>
      </c>
      <c r="F30" s="179">
        <f>F31</f>
        <v>95.37438445828712</v>
      </c>
      <c r="G30" s="222">
        <f>G31</f>
        <v>162.43339078155952</v>
      </c>
      <c r="H30" s="243">
        <f t="shared" si="1"/>
        <v>142.69560186197992</v>
      </c>
      <c r="J30" s="175">
        <f t="shared" si="2"/>
        <v>-8.881784197001252E-15</v>
      </c>
    </row>
    <row r="31" spans="1:10" ht="15.75">
      <c r="A31" s="75" t="s">
        <v>93</v>
      </c>
      <c r="B31" s="156" t="s">
        <v>143</v>
      </c>
      <c r="C31" s="179">
        <f>'прил.1'!U32</f>
        <v>5.56853740369281</v>
      </c>
      <c r="D31" s="179">
        <f>'прил.1'!AC32</f>
        <v>61.4904689195796</v>
      </c>
      <c r="E31" s="179">
        <f>'прил.1'!AK28</f>
        <v>41.75268</v>
      </c>
      <c r="F31" s="179">
        <f>'прил.1'!AS32</f>
        <v>95.37438445828712</v>
      </c>
      <c r="G31" s="222">
        <f>+C31+D31+F31</f>
        <v>162.43339078155952</v>
      </c>
      <c r="H31" s="243">
        <f t="shared" si="1"/>
        <v>142.69560186197992</v>
      </c>
      <c r="I31" s="88">
        <f>G31-F31-D31-C31</f>
        <v>-8.881784197001252E-15</v>
      </c>
      <c r="J31" s="175">
        <f t="shared" si="2"/>
        <v>-8.881784197001252E-15</v>
      </c>
    </row>
    <row r="32" spans="1:10" ht="15.75" hidden="1">
      <c r="A32" s="75"/>
      <c r="B32" s="156"/>
      <c r="C32" s="179"/>
      <c r="D32" s="179"/>
      <c r="E32" s="179"/>
      <c r="F32" s="179"/>
      <c r="G32" s="222"/>
      <c r="H32" s="243">
        <f t="shared" si="1"/>
        <v>0</v>
      </c>
      <c r="J32" s="175">
        <f t="shared" si="2"/>
        <v>0</v>
      </c>
    </row>
    <row r="33" spans="1:10" ht="15.75" hidden="1">
      <c r="A33" s="75"/>
      <c r="B33" s="156"/>
      <c r="C33" s="179"/>
      <c r="D33" s="179"/>
      <c r="E33" s="179"/>
      <c r="F33" s="179"/>
      <c r="G33" s="222"/>
      <c r="H33" s="243">
        <f t="shared" si="1"/>
        <v>0</v>
      </c>
      <c r="J33" s="175">
        <f t="shared" si="2"/>
        <v>0</v>
      </c>
    </row>
    <row r="34" spans="1:10" ht="15.75">
      <c r="A34" s="75" t="s">
        <v>40</v>
      </c>
      <c r="B34" s="154" t="s">
        <v>95</v>
      </c>
      <c r="C34" s="179"/>
      <c r="D34" s="179"/>
      <c r="E34" s="179"/>
      <c r="F34" s="179"/>
      <c r="G34" s="222"/>
      <c r="H34" s="243"/>
      <c r="J34" s="175">
        <f t="shared" si="2"/>
        <v>0</v>
      </c>
    </row>
    <row r="35" spans="1:10" ht="31.5">
      <c r="A35" s="75" t="s">
        <v>41</v>
      </c>
      <c r="B35" s="154" t="s">
        <v>42</v>
      </c>
      <c r="C35" s="179"/>
      <c r="D35" s="179"/>
      <c r="E35" s="179"/>
      <c r="F35" s="179"/>
      <c r="G35" s="222"/>
      <c r="H35" s="243"/>
      <c r="J35" s="175">
        <f t="shared" si="2"/>
        <v>0</v>
      </c>
    </row>
    <row r="36" spans="1:10" ht="15.75" hidden="1">
      <c r="A36" s="75" t="s">
        <v>96</v>
      </c>
      <c r="B36" s="156" t="s">
        <v>94</v>
      </c>
      <c r="C36" s="179"/>
      <c r="D36" s="179"/>
      <c r="E36" s="179"/>
      <c r="F36" s="179"/>
      <c r="G36" s="222"/>
      <c r="H36" s="243">
        <f t="shared" si="1"/>
        <v>0</v>
      </c>
      <c r="J36" s="175">
        <f t="shared" si="2"/>
        <v>0</v>
      </c>
    </row>
    <row r="37" spans="1:10" ht="15.75" hidden="1">
      <c r="A37" s="75"/>
      <c r="B37" s="156"/>
      <c r="C37" s="179"/>
      <c r="D37" s="179"/>
      <c r="E37" s="179"/>
      <c r="F37" s="179"/>
      <c r="G37" s="222"/>
      <c r="H37" s="243">
        <f t="shared" si="1"/>
        <v>0</v>
      </c>
      <c r="J37" s="175">
        <f t="shared" si="2"/>
        <v>0</v>
      </c>
    </row>
    <row r="38" spans="1:10" ht="15.75" hidden="1">
      <c r="A38" s="75"/>
      <c r="B38" s="156"/>
      <c r="C38" s="179"/>
      <c r="D38" s="179"/>
      <c r="E38" s="179"/>
      <c r="F38" s="179"/>
      <c r="G38" s="222"/>
      <c r="H38" s="243">
        <f t="shared" si="1"/>
        <v>0</v>
      </c>
      <c r="J38" s="175">
        <f t="shared" si="2"/>
        <v>0</v>
      </c>
    </row>
    <row r="39" spans="1:10" s="89" customFormat="1" ht="15.75">
      <c r="A39" s="75" t="s">
        <v>43</v>
      </c>
      <c r="B39" s="153" t="s">
        <v>44</v>
      </c>
      <c r="C39" s="179">
        <f>'прил.1'!W32</f>
        <v>46.466611928333336</v>
      </c>
      <c r="D39" s="179">
        <f>'прил.1'!AE32</f>
        <v>55.82001611518241</v>
      </c>
      <c r="E39" s="179">
        <f>'прил.1'!AM28</f>
        <v>29.699272</v>
      </c>
      <c r="F39" s="179">
        <f>'прил.1'!AU32</f>
        <v>51.02899702206257</v>
      </c>
      <c r="G39" s="222">
        <f>+C39+D39+F39</f>
        <v>153.31562506557833</v>
      </c>
      <c r="H39" s="243">
        <f t="shared" si="1"/>
        <v>127.1948809503959</v>
      </c>
      <c r="I39" s="88">
        <f>G39-F39-D39-C39</f>
        <v>0</v>
      </c>
      <c r="J39" s="175">
        <f t="shared" si="2"/>
        <v>0</v>
      </c>
    </row>
    <row r="40" spans="1:10" ht="15.75">
      <c r="A40" s="75" t="s">
        <v>45</v>
      </c>
      <c r="B40" s="153" t="s">
        <v>46</v>
      </c>
      <c r="C40" s="179"/>
      <c r="D40" s="179"/>
      <c r="E40" s="179"/>
      <c r="F40" s="179"/>
      <c r="G40" s="222"/>
      <c r="H40" s="243"/>
      <c r="J40" s="175">
        <f t="shared" si="2"/>
        <v>0</v>
      </c>
    </row>
    <row r="41" spans="1:10" ht="18.75">
      <c r="A41" s="75" t="s">
        <v>47</v>
      </c>
      <c r="B41" s="154" t="s">
        <v>97</v>
      </c>
      <c r="C41" s="172"/>
      <c r="D41" s="172"/>
      <c r="E41" s="172"/>
      <c r="F41" s="172"/>
      <c r="G41" s="223"/>
      <c r="H41" s="244"/>
      <c r="I41" s="90"/>
      <c r="J41" s="91"/>
    </row>
    <row r="42" spans="1:10" ht="18.75">
      <c r="A42" s="75" t="s">
        <v>98</v>
      </c>
      <c r="B42" s="154" t="s">
        <v>99</v>
      </c>
      <c r="C42" s="172"/>
      <c r="D42" s="172"/>
      <c r="E42" s="172"/>
      <c r="F42" s="172"/>
      <c r="G42" s="223"/>
      <c r="H42" s="244"/>
      <c r="I42" s="90"/>
      <c r="J42" s="91"/>
    </row>
    <row r="43" spans="1:8" ht="15.75">
      <c r="A43" s="75" t="s">
        <v>48</v>
      </c>
      <c r="B43" s="155" t="s">
        <v>49</v>
      </c>
      <c r="C43" s="172"/>
      <c r="D43" s="172"/>
      <c r="E43" s="172"/>
      <c r="F43" s="172"/>
      <c r="G43" s="223"/>
      <c r="H43" s="244"/>
    </row>
    <row r="44" spans="1:8" ht="15.75">
      <c r="A44" s="75" t="s">
        <v>50</v>
      </c>
      <c r="B44" s="153" t="s">
        <v>51</v>
      </c>
      <c r="C44" s="172"/>
      <c r="D44" s="172"/>
      <c r="E44" s="172"/>
      <c r="F44" s="172"/>
      <c r="G44" s="223"/>
      <c r="H44" s="244"/>
    </row>
    <row r="45" spans="1:8" ht="15.75">
      <c r="A45" s="75" t="s">
        <v>52</v>
      </c>
      <c r="B45" s="153" t="s">
        <v>53</v>
      </c>
      <c r="C45" s="172"/>
      <c r="D45" s="172"/>
      <c r="E45" s="172"/>
      <c r="F45" s="172"/>
      <c r="G45" s="223"/>
      <c r="H45" s="244"/>
    </row>
    <row r="46" spans="1:8" ht="15.75">
      <c r="A46" s="75" t="s">
        <v>54</v>
      </c>
      <c r="B46" s="153" t="s">
        <v>55</v>
      </c>
      <c r="C46" s="172"/>
      <c r="D46" s="172"/>
      <c r="E46" s="172"/>
      <c r="F46" s="172"/>
      <c r="G46" s="223"/>
      <c r="H46" s="244"/>
    </row>
    <row r="47" spans="1:8" ht="15.75">
      <c r="A47" s="75" t="s">
        <v>56</v>
      </c>
      <c r="B47" s="153" t="s">
        <v>57</v>
      </c>
      <c r="C47" s="172"/>
      <c r="D47" s="172"/>
      <c r="E47" s="172"/>
      <c r="F47" s="172"/>
      <c r="G47" s="223"/>
      <c r="H47" s="244"/>
    </row>
    <row r="48" spans="1:8" ht="15.75">
      <c r="A48" s="75" t="s">
        <v>58</v>
      </c>
      <c r="B48" s="153" t="s">
        <v>100</v>
      </c>
      <c r="C48" s="172"/>
      <c r="D48" s="172"/>
      <c r="E48" s="172"/>
      <c r="F48" s="172"/>
      <c r="G48" s="223"/>
      <c r="H48" s="244"/>
    </row>
    <row r="49" spans="1:8" ht="15.75">
      <c r="A49" s="75" t="s">
        <v>59</v>
      </c>
      <c r="B49" s="154" t="s">
        <v>101</v>
      </c>
      <c r="C49" s="172"/>
      <c r="D49" s="172"/>
      <c r="E49" s="172"/>
      <c r="F49" s="172"/>
      <c r="G49" s="223"/>
      <c r="H49" s="244"/>
    </row>
    <row r="50" spans="1:8" ht="31.5">
      <c r="A50" s="75" t="s">
        <v>60</v>
      </c>
      <c r="B50" s="156" t="s">
        <v>102</v>
      </c>
      <c r="C50" s="172"/>
      <c r="D50" s="172"/>
      <c r="E50" s="172"/>
      <c r="F50" s="172"/>
      <c r="G50" s="223"/>
      <c r="H50" s="244"/>
    </row>
    <row r="51" spans="1:8" ht="31.5">
      <c r="A51" s="75" t="s">
        <v>61</v>
      </c>
      <c r="B51" s="154" t="s">
        <v>103</v>
      </c>
      <c r="C51" s="172"/>
      <c r="D51" s="172"/>
      <c r="E51" s="172"/>
      <c r="F51" s="172"/>
      <c r="G51" s="223"/>
      <c r="H51" s="244"/>
    </row>
    <row r="52" spans="1:8" ht="47.25">
      <c r="A52" s="75" t="s">
        <v>62</v>
      </c>
      <c r="B52" s="156" t="s">
        <v>104</v>
      </c>
      <c r="C52" s="172"/>
      <c r="D52" s="172"/>
      <c r="E52" s="172"/>
      <c r="F52" s="172"/>
      <c r="G52" s="223"/>
      <c r="H52" s="244"/>
    </row>
    <row r="53" spans="1:8" ht="15.75">
      <c r="A53" s="75" t="s">
        <v>63</v>
      </c>
      <c r="B53" s="153" t="s">
        <v>64</v>
      </c>
      <c r="C53" s="172"/>
      <c r="D53" s="172"/>
      <c r="E53" s="172"/>
      <c r="F53" s="172"/>
      <c r="G53" s="223"/>
      <c r="H53" s="244"/>
    </row>
    <row r="54" spans="1:8" ht="16.5" thickBot="1">
      <c r="A54" s="76" t="s">
        <v>65</v>
      </c>
      <c r="B54" s="157" t="s">
        <v>66</v>
      </c>
      <c r="C54" s="173"/>
      <c r="D54" s="173"/>
      <c r="E54" s="173"/>
      <c r="F54" s="173"/>
      <c r="G54" s="224"/>
      <c r="H54" s="174"/>
    </row>
    <row r="55" spans="3:8" ht="15.75">
      <c r="C55" s="92"/>
      <c r="D55" s="92"/>
      <c r="E55" s="92"/>
      <c r="F55" s="92"/>
      <c r="G55" s="92"/>
      <c r="H55" s="92"/>
    </row>
    <row r="56" spans="1:45" ht="83.25" customHeight="1">
      <c r="A56" s="48"/>
      <c r="B56" s="29"/>
      <c r="C56" s="49"/>
      <c r="D56" s="49"/>
      <c r="E56" s="49"/>
      <c r="F56" s="49"/>
      <c r="G56" s="49"/>
      <c r="H56" s="4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</row>
    <row r="57" spans="1:45" ht="20.25" customHeight="1">
      <c r="A57" s="255"/>
      <c r="B57" s="255"/>
      <c r="C57" s="255"/>
      <c r="D57" s="255"/>
      <c r="E57" s="255"/>
      <c r="F57" s="255"/>
      <c r="G57" s="255"/>
      <c r="H57" s="183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</row>
    <row r="58" spans="1:43" ht="15.75">
      <c r="A58" s="331"/>
      <c r="B58" s="331"/>
      <c r="C58" s="331"/>
      <c r="D58" s="331"/>
      <c r="E58" s="331"/>
      <c r="F58" s="331"/>
      <c r="G58" s="331"/>
      <c r="H58" s="193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</row>
    <row r="59" spans="1:43" ht="15.75">
      <c r="A59" s="331"/>
      <c r="B59" s="331"/>
      <c r="C59" s="331"/>
      <c r="D59" s="331"/>
      <c r="E59" s="331"/>
      <c r="F59" s="331"/>
      <c r="G59" s="331"/>
      <c r="H59" s="193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</row>
    <row r="60" spans="1:9" ht="15.75">
      <c r="A60" s="280"/>
      <c r="B60" s="280"/>
      <c r="C60" s="280"/>
      <c r="D60" s="280"/>
      <c r="E60" s="280"/>
      <c r="F60" s="280"/>
      <c r="G60" s="280"/>
      <c r="H60" s="184"/>
      <c r="I60" s="10"/>
    </row>
    <row r="61" spans="1:8" ht="15.75">
      <c r="A61" s="332"/>
      <c r="B61" s="332"/>
      <c r="C61" s="332"/>
      <c r="D61" s="332"/>
      <c r="E61" s="332"/>
      <c r="F61" s="332"/>
      <c r="G61" s="332"/>
      <c r="H61" s="194"/>
    </row>
    <row r="63" spans="3:8" ht="15.75">
      <c r="C63" s="93"/>
      <c r="D63" s="93"/>
      <c r="E63" s="93"/>
      <c r="F63" s="93"/>
      <c r="G63" s="93"/>
      <c r="H63" s="93"/>
    </row>
    <row r="64" spans="3:6" ht="15.75">
      <c r="C64" s="94"/>
      <c r="D64" s="94"/>
      <c r="E64" s="94"/>
      <c r="F64" s="94"/>
    </row>
  </sheetData>
  <sheetProtection/>
  <mergeCells count="18">
    <mergeCell ref="G14:H14"/>
    <mergeCell ref="D14:E14"/>
    <mergeCell ref="A5:G5"/>
    <mergeCell ref="A6:G6"/>
    <mergeCell ref="A7:G7"/>
    <mergeCell ref="A8:G8"/>
    <mergeCell ref="A9:G9"/>
    <mergeCell ref="A10:G10"/>
    <mergeCell ref="A57:G57"/>
    <mergeCell ref="A58:G58"/>
    <mergeCell ref="A59:G59"/>
    <mergeCell ref="A60:G60"/>
    <mergeCell ref="A61:G61"/>
    <mergeCell ref="A11:G11"/>
    <mergeCell ref="A12:G12"/>
    <mergeCell ref="A14:A15"/>
    <mergeCell ref="B14:B15"/>
    <mergeCell ref="A17:B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4" r:id="rId1"/>
  <colBreaks count="1" manualBreakCount="1">
    <brk id="8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Иванов Анатолий Александрович</cp:lastModifiedBy>
  <cp:lastPrinted>2021-04-29T06:40:39Z</cp:lastPrinted>
  <dcterms:created xsi:type="dcterms:W3CDTF">2004-09-19T06:34:55Z</dcterms:created>
  <dcterms:modified xsi:type="dcterms:W3CDTF">2022-04-11T11:54:12Z</dcterms:modified>
  <cp:category/>
  <cp:version/>
  <cp:contentType/>
  <cp:contentStatus/>
</cp:coreProperties>
</file>